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F:\sp 2024\para web\enero\"/>
    </mc:Choice>
  </mc:AlternateContent>
  <xr:revisionPtr revIDLastSave="0" documentId="8_{2218FB23-338E-448C-B942-66007778877D}" xr6:coauthVersionLast="47" xr6:coauthVersionMax="47" xr10:uidLastSave="{00000000-0000-0000-0000-000000000000}"/>
  <bookViews>
    <workbookView xWindow="-120" yWindow="-120" windowWidth="29040" windowHeight="15720" tabRatio="778" activeTab="2" xr2:uid="{0C0F7115-977F-46B3-997B-DB0C5A284ECE}"/>
  </bookViews>
  <sheets>
    <sheet name="Inputs" sheetId="1" r:id="rId1"/>
    <sheet name="Resumen Resultados" sheetId="7" r:id="rId2"/>
    <sheet name="TR" sheetId="25" r:id="rId3"/>
    <sheet name="Esc_6c" sheetId="10" r:id="rId4"/>
    <sheet name="Esc_4c-2i" sheetId="24" r:id="rId5"/>
    <sheet name="Esc_3c-3i" sheetId="40" r:id="rId6"/>
    <sheet name="Esc_2c-4i" sheetId="41" r:id="rId7"/>
    <sheet name="Esc_6i" sheetId="20" r:id="rId8"/>
    <sheet name="Parámetros" sheetId="9" r:id="rId9"/>
    <sheet name="cnu" sheetId="13" state="hidden" r:id="rId10"/>
    <sheet name="cnu_noc" sheetId="12" state="hidden" r:id="rId11"/>
  </sheets>
  <definedNames>
    <definedName name="_xlnm._FilterDatabase" localSheetId="9" hidden="1">cnu!$A$1:$CH$221</definedName>
    <definedName name="a_afil">Inputs!$C$5</definedName>
    <definedName name="a_nac">Inputs!$C$4</definedName>
    <definedName name="agno_ret">Parámetros!$Z$2:$AA$2</definedName>
    <definedName name="agnos">Parámetros!$A$3:$A$122</definedName>
    <definedName name="agnos_rent">Parámetros!$V$3:$V$46</definedName>
    <definedName name="alpha" localSheetId="6">'Esc_2c-4i'!$X$9</definedName>
    <definedName name="alpha" localSheetId="5">'Esc_3c-3i'!$X$9</definedName>
    <definedName name="alpha" localSheetId="4">'Esc_4c-2i'!$X$9</definedName>
    <definedName name="alpha" localSheetId="3">Inputs!$C$23</definedName>
    <definedName name="alpha" localSheetId="7">Inputs!$C$23</definedName>
    <definedName name="alpha" localSheetId="8">Inputs!$C$23</definedName>
    <definedName name="alpha">Inputs!$C$23</definedName>
    <definedName name="beneficios">Esc_6c!$BA$2:$BA$10</definedName>
    <definedName name="beneficios_hombre" localSheetId="6">'Esc_2c-4i'!$BB$2:$BB$10</definedName>
    <definedName name="beneficios_hombre" localSheetId="5">'Esc_3c-3i'!$BB$2:$BB$10</definedName>
    <definedName name="beneficios_hombre" localSheetId="4">'Esc_4c-2i'!$BB$2:$BB$10</definedName>
    <definedName name="beneficios_hombre" localSheetId="3">Esc_6c!$BB$2:$BB$10</definedName>
    <definedName name="beneficios_hombre" localSheetId="7">Esc_6i!$BB$2:$BB$10</definedName>
    <definedName name="beneficios_mujer" localSheetId="6">'Esc_2c-4i'!$BC$2:$BC$10</definedName>
    <definedName name="beneficios_mujer" localSheetId="5">'Esc_3c-3i'!$BC$2:$BC$10</definedName>
    <definedName name="beneficios_mujer" localSheetId="4">'Esc_4c-2i'!$BC$2:$BC$10</definedName>
    <definedName name="beneficios_mujer" localSheetId="3">Esc_6c!$BC$2:$BC$10</definedName>
    <definedName name="beneficios_mujer" localSheetId="7">Esc_6i!$BC$2:$BC$10</definedName>
    <definedName name="beta" localSheetId="6">'Esc_2c-4i'!$AM$8</definedName>
    <definedName name="beta" localSheetId="5">'Esc_3c-3i'!$AM$8</definedName>
    <definedName name="beta" localSheetId="4">'Esc_4c-2i'!#REF!</definedName>
    <definedName name="beta" localSheetId="3">Inputs!$C$24</definedName>
    <definedName name="beta" localSheetId="7">Inputs!$C$24</definedName>
    <definedName name="beta" localSheetId="8">Inputs!$C$24</definedName>
    <definedName name="beta">Inputs!$C$24</definedName>
    <definedName name="cnu">Parámetros!$Z$3:$AA$3</definedName>
    <definedName name="cnu_elp">Parámetros!$Z$12:$AA$12</definedName>
    <definedName name="cnu_noc">Parámetros!$Z$5:$AA$5</definedName>
    <definedName name="con_PGU">Inputs!$C$10</definedName>
    <definedName name="con_ri" localSheetId="8">Parámetros!#REF!</definedName>
    <definedName name="con_ri" localSheetId="1">'Resumen Resultados'!#REF!</definedName>
    <definedName name="cuidado3">Inputs!$D$21</definedName>
    <definedName name="delta">Inputs!$C$26</definedName>
    <definedName name="dens_cot">Inputs!$C$6</definedName>
    <definedName name="dens_mujer">Inputs!$F$6</definedName>
    <definedName name="edad_pafe">Parámetros!$Z$11:$AA$11</definedName>
    <definedName name="edad_ret_h">Inputs!$C$7</definedName>
    <definedName name="edad_ret_m">Inputs!$C$8</definedName>
    <definedName name="edades">Parámetros!#REF!</definedName>
    <definedName name="edades_ref" localSheetId="6">'Esc_2c-4i'!$C$59:$C$135</definedName>
    <definedName name="edades_ref" localSheetId="5">'Esc_3c-3i'!$C$59:$C$135</definedName>
    <definedName name="edades_ref" localSheetId="4">'Esc_4c-2i'!$C$59:$C$135</definedName>
    <definedName name="gamma" localSheetId="6">'Esc_2c-4i'!$AM$9</definedName>
    <definedName name="gamma" localSheetId="5">'Esc_3c-3i'!$AM$9</definedName>
    <definedName name="gamma" localSheetId="4">'Esc_4c-2i'!#REF!</definedName>
    <definedName name="gamma" localSheetId="3">Inputs!$C$25</definedName>
    <definedName name="gamma" localSheetId="7">Inputs!$C$25</definedName>
    <definedName name="gamma" localSheetId="8">Inputs!$C$25</definedName>
    <definedName name="gamma">Inputs!$C$25</definedName>
    <definedName name="gar_agno">Parámetros!$O$3:$O$122</definedName>
    <definedName name="giros_sc">Parámetros!$Q$3:$Q$9</definedName>
    <definedName name="i_fondo">Inputs!$C$37</definedName>
    <definedName name="i_noc">Inputs!$C$36</definedName>
    <definedName name="mmater">Inputs!$C$28</definedName>
    <definedName name="n_mes_laguna">Inputs!$C$17</definedName>
    <definedName name="n_per_cub">Inputs!$C$16</definedName>
    <definedName name="P_inf">Inputs!$D$46</definedName>
    <definedName name="P_sup">Inputs!$E$46</definedName>
    <definedName name="PGU_actual">Inputs!$C$46</definedName>
    <definedName name="PGU_ref">Inputs!$C$47</definedName>
    <definedName name="rent_base">Parámetros!$W$3:$W$46</definedName>
    <definedName name="rent_base_old">Parámetros!#REF!</definedName>
    <definedName name="rent_ref">Parámetros!#REF!</definedName>
    <definedName name="rent_ref_old">Parámetros!#REF!</definedName>
    <definedName name="saldo_inic">Inputs!$C$10</definedName>
    <definedName name="sexo_cnu">Esc_6c!$D$8:$E$8</definedName>
    <definedName name="solver_adj" localSheetId="0" hidden="1">Inputs!$K$2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Inputs!$S$4</definedName>
    <definedName name="solver_opt" localSheetId="1" hidden="1">'Resumen Resultados'!#REF!</definedName>
    <definedName name="solver_pre" localSheetId="0" hidden="1">0.000001</definedName>
    <definedName name="solver_rbv" localSheetId="0" hidden="1">2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typ" localSheetId="1" hidden="1">1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  <definedName name="tope_base">Parámetros!$H$3:$H$122</definedName>
    <definedName name="tope_bm" localSheetId="6">'Esc_2c-4i'!$X$8</definedName>
    <definedName name="tope_bm" localSheetId="5">'Esc_3c-3i'!$X$8</definedName>
    <definedName name="tope_bm" localSheetId="4">'Esc_4c-2i'!$X$8</definedName>
    <definedName name="tope_bm">Esc_6c!$X$8</definedName>
    <definedName name="tope_garantia" localSheetId="6">'Esc_2c-4i'!$X$10</definedName>
    <definedName name="tope_garantia" localSheetId="5">'Esc_3c-3i'!$X$10</definedName>
    <definedName name="tope_garantia" localSheetId="4">'Esc_4c-2i'!$X$10</definedName>
    <definedName name="tope_ref_col">Parámetros!$I$3:$I$122</definedName>
    <definedName name="tope_ref_ind">Parámetros!$J$3:$J$122</definedName>
    <definedName name="tr_sc_acum">Parámetros!$S$3:$S$9</definedName>
    <definedName name="UF">Inputs!$C$35</definedName>
    <definedName name="w_uf">Inputs!$C$9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3" i="10" l="1"/>
  <c r="AE4" i="9"/>
  <c r="AE5" i="9"/>
  <c r="AE6" i="9"/>
  <c r="AE7" i="9"/>
  <c r="AE8" i="9"/>
  <c r="AE9" i="9"/>
  <c r="AE10" i="9"/>
  <c r="AE11" i="9"/>
  <c r="AE12" i="9"/>
  <c r="AE13" i="9"/>
  <c r="AE14" i="9"/>
  <c r="AE15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2" i="9"/>
  <c r="AE53" i="9"/>
  <c r="AE54" i="9"/>
  <c r="AE55" i="9"/>
  <c r="AE56" i="9"/>
  <c r="AE3" i="9"/>
  <c r="K2" i="1"/>
  <c r="J45" i="9"/>
  <c r="G11" i="7" a="1"/>
  <c r="G12" i="7" a="1"/>
  <c r="I14" i="7" a="1"/>
  <c r="M13" i="7" a="1"/>
  <c r="K13" i="7" a="1"/>
  <c r="G10" i="7" a="1"/>
  <c r="M7" i="7" a="1"/>
  <c r="I12" i="7" a="1"/>
  <c r="K10" i="7" a="1"/>
  <c r="G13" i="7" a="1"/>
  <c r="I7" i="7" a="1"/>
  <c r="I10" i="7" a="1"/>
  <c r="M12" i="7" a="1"/>
  <c r="K14" i="7" a="1"/>
  <c r="I13" i="7" a="1"/>
  <c r="E12" i="7" a="1"/>
  <c r="E7" i="7" a="1"/>
  <c r="M10" i="7" a="1"/>
  <c r="M14" i="7" a="1"/>
  <c r="K7" i="7" a="1"/>
  <c r="G14" i="7" a="1"/>
  <c r="G7" i="7" a="1"/>
  <c r="E13" i="7" a="1"/>
  <c r="K12" i="7" a="1"/>
  <c r="G10" i="7" l="1"/>
  <c r="G14" i="7"/>
  <c r="I14" i="7"/>
  <c r="K14" i="7"/>
  <c r="E13" i="7"/>
  <c r="K10" i="7"/>
  <c r="M14" i="7"/>
  <c r="M10" i="7"/>
  <c r="E12" i="7"/>
  <c r="I13" i="7"/>
  <c r="G12" i="7"/>
  <c r="K13" i="7"/>
  <c r="M12" i="7"/>
  <c r="G13" i="7"/>
  <c r="I10" i="7"/>
  <c r="I12" i="7"/>
  <c r="M13" i="7"/>
  <c r="G11" i="7"/>
  <c r="K12" i="7"/>
  <c r="K7" i="7"/>
  <c r="I7" i="7"/>
  <c r="M7" i="7"/>
  <c r="E7" i="7"/>
  <c r="G7" i="7"/>
  <c r="N2" i="7" l="1"/>
  <c r="N1" i="7"/>
  <c r="BA2" i="20" a="1"/>
  <c r="BA2" i="20" s="1"/>
  <c r="BA2" i="41" a="1"/>
  <c r="BA2" i="41" s="1"/>
  <c r="BA2" i="40" a="1"/>
  <c r="BA2" i="40" s="1"/>
  <c r="BA2" i="24" a="1"/>
  <c r="BA2" i="24" s="1"/>
  <c r="N10" i="7" a="1"/>
  <c r="N14" i="7" a="1"/>
  <c r="N14" i="7" l="1"/>
  <c r="N10" i="7"/>
  <c r="AJ4" i="41"/>
  <c r="AI5" i="41" s="1"/>
  <c r="AI4" i="41"/>
  <c r="AQ4" i="41" s="1"/>
  <c r="AJ4" i="40"/>
  <c r="AJ5" i="40" s="1"/>
  <c r="AI4" i="40"/>
  <c r="AJ5" i="41" l="1"/>
  <c r="AQ4" i="40"/>
  <c r="AJ6" i="40"/>
  <c r="AI6" i="40"/>
  <c r="AI5" i="40"/>
  <c r="N14" i="41"/>
  <c r="W14" i="41" s="1"/>
  <c r="AV13" i="41"/>
  <c r="X13" i="41"/>
  <c r="Q13" i="41"/>
  <c r="AG12" i="41"/>
  <c r="N14" i="40"/>
  <c r="W14" i="40" s="1"/>
  <c r="AV13" i="40"/>
  <c r="X13" i="40"/>
  <c r="Q13" i="40"/>
  <c r="M13" i="40"/>
  <c r="AG12" i="40"/>
  <c r="AV13" i="24"/>
  <c r="AG12" i="24"/>
  <c r="X13" i="24"/>
  <c r="O13" i="41" l="1"/>
  <c r="AJ6" i="41"/>
  <c r="AI6" i="41"/>
  <c r="M13" i="41"/>
  <c r="AI7" i="40"/>
  <c r="AJ7" i="40"/>
  <c r="AI8" i="40" s="1"/>
  <c r="AT13" i="41"/>
  <c r="V13" i="41"/>
  <c r="P14" i="41"/>
  <c r="AT13" i="40"/>
  <c r="V13" i="40"/>
  <c r="O13" i="40"/>
  <c r="P14" i="40"/>
  <c r="AI7" i="41" l="1"/>
  <c r="AJ7" i="41"/>
  <c r="AI8" i="41" s="1"/>
  <c r="L2" i="1"/>
  <c r="Z9" i="9" a="1"/>
  <c r="Z9" i="9" s="1"/>
  <c r="AA9" i="9" l="1"/>
  <c r="F1" i="7" l="1"/>
  <c r="F2" i="7"/>
  <c r="L2" i="7"/>
  <c r="L1" i="7"/>
  <c r="J2" i="7"/>
  <c r="J1" i="7"/>
  <c r="H2" i="7"/>
  <c r="H1" i="7"/>
  <c r="L10" i="7" a="1"/>
  <c r="J14" i="7" a="1"/>
  <c r="H10" i="7" a="1"/>
  <c r="H11" i="7" a="1"/>
  <c r="J10" i="7" a="1"/>
  <c r="L14" i="7" a="1"/>
  <c r="H13" i="7" a="1"/>
  <c r="H12" i="7" a="1"/>
  <c r="H14" i="7" a="1"/>
  <c r="H7" i="7" a="1"/>
  <c r="J14" i="7" l="1"/>
  <c r="J10" i="7"/>
  <c r="L14" i="7"/>
  <c r="L10" i="7"/>
  <c r="H14" i="7"/>
  <c r="H13" i="7"/>
  <c r="H12" i="7"/>
  <c r="H11" i="7"/>
  <c r="H10" i="7"/>
  <c r="H7" i="7"/>
  <c r="B46" i="9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W46" i="9" l="1"/>
  <c r="V4" i="9"/>
  <c r="V5" i="9"/>
  <c r="V6" i="9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3" i="9"/>
  <c r="X5" i="41" l="1"/>
  <c r="X5" i="40"/>
  <c r="AN11" i="41"/>
  <c r="AM11" i="41"/>
  <c r="AL11" i="41"/>
  <c r="AK11" i="41"/>
  <c r="X9" i="41"/>
  <c r="X3" i="41"/>
  <c r="AN11" i="40"/>
  <c r="AM11" i="40"/>
  <c r="AL11" i="40"/>
  <c r="AK11" i="40"/>
  <c r="X9" i="40"/>
  <c r="X3" i="40"/>
  <c r="S13" i="41" l="1"/>
  <c r="Z13" i="41"/>
  <c r="AI12" i="41"/>
  <c r="S13" i="40"/>
  <c r="Z13" i="40"/>
  <c r="AI12" i="40"/>
  <c r="C33" i="1"/>
  <c r="C34" i="1"/>
  <c r="C32" i="1"/>
  <c r="O122" i="9"/>
  <c r="O121" i="9"/>
  <c r="O120" i="9"/>
  <c r="O119" i="9"/>
  <c r="O118" i="9"/>
  <c r="O117" i="9"/>
  <c r="O116" i="9"/>
  <c r="O115" i="9"/>
  <c r="O114" i="9"/>
  <c r="O113" i="9"/>
  <c r="O112" i="9"/>
  <c r="O111" i="9"/>
  <c r="O110" i="9"/>
  <c r="O109" i="9"/>
  <c r="O108" i="9"/>
  <c r="O107" i="9"/>
  <c r="O106" i="9"/>
  <c r="O105" i="9"/>
  <c r="O104" i="9"/>
  <c r="O103" i="9"/>
  <c r="O102" i="9"/>
  <c r="O101" i="9"/>
  <c r="O100" i="9"/>
  <c r="O99" i="9"/>
  <c r="O98" i="9"/>
  <c r="O97" i="9"/>
  <c r="O96" i="9"/>
  <c r="O95" i="9"/>
  <c r="O94" i="9"/>
  <c r="O93" i="9"/>
  <c r="O92" i="9"/>
  <c r="O91" i="9"/>
  <c r="O90" i="9"/>
  <c r="O89" i="9"/>
  <c r="O88" i="9"/>
  <c r="O87" i="9"/>
  <c r="O86" i="9"/>
  <c r="O85" i="9"/>
  <c r="O84" i="9"/>
  <c r="O83" i="9"/>
  <c r="O82" i="9"/>
  <c r="O81" i="9"/>
  <c r="O80" i="9"/>
  <c r="O79" i="9"/>
  <c r="O78" i="9"/>
  <c r="O77" i="9"/>
  <c r="O76" i="9"/>
  <c r="O75" i="9"/>
  <c r="O74" i="9"/>
  <c r="O73" i="9"/>
  <c r="O72" i="9"/>
  <c r="O71" i="9"/>
  <c r="O70" i="9"/>
  <c r="O69" i="9"/>
  <c r="O68" i="9"/>
  <c r="O67" i="9"/>
  <c r="O66" i="9"/>
  <c r="O65" i="9"/>
  <c r="O64" i="9"/>
  <c r="O63" i="9"/>
  <c r="O62" i="9"/>
  <c r="O61" i="9"/>
  <c r="O60" i="9"/>
  <c r="O59" i="9"/>
  <c r="O58" i="9"/>
  <c r="O57" i="9"/>
  <c r="O56" i="9"/>
  <c r="X9" i="24"/>
  <c r="AJ4" i="24"/>
  <c r="AJ5" i="24" s="1"/>
  <c r="AI4" i="24"/>
  <c r="O55" i="9"/>
  <c r="O53" i="9"/>
  <c r="O52" i="9"/>
  <c r="O51" i="9"/>
  <c r="O50" i="9"/>
  <c r="O49" i="9"/>
  <c r="O48" i="9"/>
  <c r="O47" i="9"/>
  <c r="O45" i="9"/>
  <c r="O44" i="9"/>
  <c r="O43" i="9"/>
  <c r="O42" i="9"/>
  <c r="O41" i="9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O4" i="9"/>
  <c r="O3" i="9"/>
  <c r="O54" i="9"/>
  <c r="AQ8" i="41" l="1"/>
  <c r="AQ8" i="40"/>
  <c r="AQ5" i="41"/>
  <c r="AQ5" i="40"/>
  <c r="AQ7" i="41"/>
  <c r="AQ7" i="40"/>
  <c r="AQ3" i="40"/>
  <c r="AQ3" i="41"/>
  <c r="AQ6" i="41"/>
  <c r="AQ6" i="40"/>
  <c r="G45" i="9"/>
  <c r="G44" i="9" s="1"/>
  <c r="G43" i="9" s="1"/>
  <c r="E45" i="9"/>
  <c r="E44" i="9" s="1"/>
  <c r="E43" i="9" s="1"/>
  <c r="AQ3" i="24"/>
  <c r="F45" i="9"/>
  <c r="F44" i="9" s="1"/>
  <c r="F43" i="9" s="1"/>
  <c r="AQ4" i="24"/>
  <c r="AJ6" i="24"/>
  <c r="AI6" i="24"/>
  <c r="AI5" i="24"/>
  <c r="AQ5" i="24" l="1"/>
  <c r="AQ6" i="24"/>
  <c r="AJ7" i="24"/>
  <c r="AI8" i="24" s="1"/>
  <c r="AQ8" i="24" s="1"/>
  <c r="AI7" i="24"/>
  <c r="AQ7" i="24" l="1"/>
  <c r="AN11" i="24" l="1"/>
  <c r="AM11" i="24"/>
  <c r="AL11" i="24"/>
  <c r="AK11" i="24"/>
  <c r="Q13" i="10" l="1"/>
  <c r="AV59" i="10" l="1" a="1"/>
  <c r="AV59" i="10" s="1"/>
  <c r="C9" i="1" l="1"/>
  <c r="B9" i="1" l="1"/>
  <c r="Q13" i="24" l="1"/>
  <c r="N14" i="24"/>
  <c r="X3" i="24"/>
  <c r="Z13" i="24" l="1"/>
  <c r="S13" i="24"/>
  <c r="P14" i="24"/>
  <c r="M13" i="24"/>
  <c r="O13" i="24"/>
  <c r="W14" i="24"/>
  <c r="AT13" i="24" l="1"/>
  <c r="V13" i="24"/>
  <c r="AI12" i="24"/>
  <c r="C4" i="1"/>
  <c r="C5" i="1" l="1"/>
  <c r="AL9" i="40" s="1"/>
  <c r="AA2" i="9"/>
  <c r="AU132" i="41"/>
  <c r="AU128" i="41"/>
  <c r="AU124" i="41"/>
  <c r="AU120" i="41"/>
  <c r="AU116" i="41"/>
  <c r="AU112" i="41"/>
  <c r="AU108" i="41"/>
  <c r="AU104" i="41"/>
  <c r="AU96" i="41"/>
  <c r="AU92" i="41"/>
  <c r="AU88" i="41"/>
  <c r="AU84" i="41"/>
  <c r="AU80" i="41"/>
  <c r="AU75" i="41"/>
  <c r="AW70" i="41"/>
  <c r="AW66" i="41"/>
  <c r="AW62" i="41"/>
  <c r="AW58" i="41"/>
  <c r="AW50" i="41"/>
  <c r="AW42" i="41"/>
  <c r="AW34" i="41"/>
  <c r="AW26" i="41"/>
  <c r="AW18" i="41"/>
  <c r="AU133" i="40"/>
  <c r="AU129" i="40"/>
  <c r="AU125" i="40"/>
  <c r="AU121" i="40"/>
  <c r="AU117" i="40"/>
  <c r="AU113" i="40"/>
  <c r="AU109" i="40"/>
  <c r="AU101" i="40"/>
  <c r="AU97" i="40"/>
  <c r="AU93" i="40"/>
  <c r="AU89" i="40"/>
  <c r="AU85" i="40"/>
  <c r="AU81" i="40"/>
  <c r="AU76" i="40"/>
  <c r="AW71" i="40"/>
  <c r="AW67" i="40"/>
  <c r="AW63" i="40"/>
  <c r="AW59" i="40"/>
  <c r="AW52" i="40"/>
  <c r="AW44" i="40"/>
  <c r="AW36" i="40"/>
  <c r="AW28" i="40"/>
  <c r="AW20" i="40"/>
  <c r="AT81" i="40"/>
  <c r="AT76" i="40"/>
  <c r="AV71" i="40"/>
  <c r="AV67" i="40"/>
  <c r="AV63" i="40"/>
  <c r="AV59" i="40"/>
  <c r="AV52" i="40"/>
  <c r="AV44" i="40"/>
  <c r="AV36" i="40"/>
  <c r="AV20" i="40"/>
  <c r="AT114" i="40"/>
  <c r="AT77" i="40"/>
  <c r="AV46" i="40"/>
  <c r="AW128" i="41"/>
  <c r="AU67" i="41"/>
  <c r="AW117" i="40"/>
  <c r="AU68" i="40"/>
  <c r="AV124" i="41"/>
  <c r="AV121" i="40"/>
  <c r="Z2" i="9"/>
  <c r="AT132" i="41"/>
  <c r="AT128" i="41"/>
  <c r="AT124" i="41"/>
  <c r="AT120" i="41"/>
  <c r="AT116" i="41"/>
  <c r="AT112" i="41"/>
  <c r="AT108" i="41"/>
  <c r="AT104" i="41"/>
  <c r="AT100" i="41"/>
  <c r="AT96" i="41"/>
  <c r="AT92" i="41"/>
  <c r="AT88" i="41"/>
  <c r="AT84" i="41"/>
  <c r="AT80" i="41"/>
  <c r="AT75" i="41"/>
  <c r="AV70" i="41"/>
  <c r="AV66" i="41"/>
  <c r="AV62" i="41"/>
  <c r="AV58" i="41"/>
  <c r="AV50" i="41"/>
  <c r="AV42" i="41"/>
  <c r="AV34" i="41"/>
  <c r="AV26" i="41"/>
  <c r="AV18" i="41"/>
  <c r="AT133" i="40"/>
  <c r="AT129" i="40"/>
  <c r="AT125" i="40"/>
  <c r="AT121" i="40"/>
  <c r="AT117" i="40"/>
  <c r="AT113" i="40"/>
  <c r="AT109" i="40"/>
  <c r="AT101" i="40"/>
  <c r="AT97" i="40"/>
  <c r="AT93" i="40"/>
  <c r="AT89" i="40"/>
  <c r="AT85" i="40"/>
  <c r="AV28" i="40"/>
  <c r="AT106" i="40"/>
  <c r="AT90" i="40"/>
  <c r="AT86" i="40"/>
  <c r="AT82" i="40"/>
  <c r="AV72" i="40"/>
  <c r="AV60" i="40"/>
  <c r="AV38" i="40"/>
  <c r="AV22" i="40"/>
  <c r="AW124" i="41"/>
  <c r="AW113" i="40"/>
  <c r="AV108" i="41"/>
  <c r="AV88" i="41"/>
  <c r="AT63" i="41"/>
  <c r="AV125" i="40"/>
  <c r="AV97" i="40"/>
  <c r="AW135" i="41"/>
  <c r="AW131" i="41"/>
  <c r="AW127" i="41"/>
  <c r="AW123" i="41"/>
  <c r="AW119" i="41"/>
  <c r="AW115" i="41"/>
  <c r="AW111" i="41"/>
  <c r="AW107" i="41"/>
  <c r="AW103" i="41"/>
  <c r="AW99" i="41"/>
  <c r="AW95" i="41"/>
  <c r="AW91" i="41"/>
  <c r="AW87" i="41"/>
  <c r="AW83" i="41"/>
  <c r="AW78" i="41"/>
  <c r="AV74" i="41"/>
  <c r="AU70" i="41"/>
  <c r="AU66" i="41"/>
  <c r="AU62" i="41"/>
  <c r="AW49" i="41"/>
  <c r="AW41" i="41"/>
  <c r="AW33" i="41"/>
  <c r="AW25" i="41"/>
  <c r="AW17" i="41"/>
  <c r="AW132" i="40"/>
  <c r="AW128" i="40"/>
  <c r="AW124" i="40"/>
  <c r="AW120" i="40"/>
  <c r="AW116" i="40"/>
  <c r="AW112" i="40"/>
  <c r="AW108" i="40"/>
  <c r="AW104" i="40"/>
  <c r="AW96" i="40"/>
  <c r="AW92" i="40"/>
  <c r="AW88" i="40"/>
  <c r="AW84" i="40"/>
  <c r="AW80" i="40"/>
  <c r="AW75" i="40"/>
  <c r="AU71" i="40"/>
  <c r="AU67" i="40"/>
  <c r="AU63" i="40"/>
  <c r="AU59" i="40"/>
  <c r="AW51" i="40"/>
  <c r="AW43" i="40"/>
  <c r="AW35" i="40"/>
  <c r="AW27" i="40"/>
  <c r="AW19" i="40"/>
  <c r="AW18" i="40"/>
  <c r="AV25" i="40"/>
  <c r="AV32" i="40"/>
  <c r="AT117" i="41"/>
  <c r="AT118" i="40"/>
  <c r="AV54" i="40"/>
  <c r="AW35" i="41"/>
  <c r="AV100" i="41"/>
  <c r="AV92" i="41"/>
  <c r="AV84" i="41"/>
  <c r="AV75" i="41"/>
  <c r="AV51" i="41"/>
  <c r="AV129" i="40"/>
  <c r="AV93" i="40"/>
  <c r="AT68" i="40"/>
  <c r="AT64" i="40"/>
  <c r="AV29" i="40"/>
  <c r="AV135" i="41"/>
  <c r="AV131" i="41"/>
  <c r="AV127" i="41"/>
  <c r="AV123" i="41"/>
  <c r="AV119" i="41"/>
  <c r="AV115" i="41"/>
  <c r="AV111" i="41"/>
  <c r="AV107" i="41"/>
  <c r="AV103" i="41"/>
  <c r="AV99" i="41"/>
  <c r="AV95" i="41"/>
  <c r="AV91" i="41"/>
  <c r="AV87" i="41"/>
  <c r="AV83" i="41"/>
  <c r="AV78" i="41"/>
  <c r="AT74" i="41"/>
  <c r="AT70" i="41"/>
  <c r="AT66" i="41"/>
  <c r="AT62" i="41"/>
  <c r="AV49" i="41"/>
  <c r="AV41" i="41"/>
  <c r="AV33" i="41"/>
  <c r="AV25" i="41"/>
  <c r="AV17" i="41"/>
  <c r="AV132" i="40"/>
  <c r="AV128" i="40"/>
  <c r="AV124" i="40"/>
  <c r="AV120" i="40"/>
  <c r="AV116" i="40"/>
  <c r="AV112" i="40"/>
  <c r="AV108" i="40"/>
  <c r="AV104" i="40"/>
  <c r="AV100" i="40"/>
  <c r="AV96" i="40"/>
  <c r="AV92" i="40"/>
  <c r="AV88" i="40"/>
  <c r="AV84" i="40"/>
  <c r="AV80" i="40"/>
  <c r="AV75" i="40"/>
  <c r="AT71" i="40"/>
  <c r="AT67" i="40"/>
  <c r="AT63" i="40"/>
  <c r="AT59" i="40"/>
  <c r="AV51" i="40"/>
  <c r="AV43" i="40"/>
  <c r="AV35" i="40"/>
  <c r="AV27" i="40"/>
  <c r="AV19" i="40"/>
  <c r="AV17" i="40"/>
  <c r="AV16" i="40"/>
  <c r="AU135" i="41"/>
  <c r="AU131" i="41"/>
  <c r="AU127" i="41"/>
  <c r="AU123" i="41"/>
  <c r="AU119" i="41"/>
  <c r="AU115" i="41"/>
  <c r="AU111" i="41"/>
  <c r="AU107" i="41"/>
  <c r="AU103" i="41"/>
  <c r="AU99" i="41"/>
  <c r="AU95" i="41"/>
  <c r="AU91" i="41"/>
  <c r="AU87" i="41"/>
  <c r="AU83" i="41"/>
  <c r="AU78" i="41"/>
  <c r="AW73" i="41"/>
  <c r="AW69" i="41"/>
  <c r="AW65" i="41"/>
  <c r="AW61" i="41"/>
  <c r="AW56" i="41"/>
  <c r="AW48" i="41"/>
  <c r="AW40" i="41"/>
  <c r="AW32" i="41"/>
  <c r="AW24" i="41"/>
  <c r="AW16" i="41"/>
  <c r="AU132" i="40"/>
  <c r="AU128" i="40"/>
  <c r="AU124" i="40"/>
  <c r="AU120" i="40"/>
  <c r="AU116" i="40"/>
  <c r="AU112" i="40"/>
  <c r="AU108" i="40"/>
  <c r="AU104" i="40"/>
  <c r="AU96" i="40"/>
  <c r="AU92" i="40"/>
  <c r="AU88" i="40"/>
  <c r="AU84" i="40"/>
  <c r="AU80" i="40"/>
  <c r="AU75" i="40"/>
  <c r="AW70" i="40"/>
  <c r="AW66" i="40"/>
  <c r="AW62" i="40"/>
  <c r="AW58" i="40"/>
  <c r="AW50" i="40"/>
  <c r="AW42" i="40"/>
  <c r="AW34" i="40"/>
  <c r="AW26" i="40"/>
  <c r="AV33" i="40"/>
  <c r="AV24" i="40"/>
  <c r="AT109" i="41"/>
  <c r="AT85" i="41"/>
  <c r="AV71" i="41"/>
  <c r="AV59" i="41"/>
  <c r="AV28" i="41"/>
  <c r="AT122" i="40"/>
  <c r="AW96" i="41"/>
  <c r="AW101" i="40"/>
  <c r="AV104" i="41"/>
  <c r="AV43" i="41"/>
  <c r="AV21" i="40"/>
  <c r="AT135" i="41"/>
  <c r="AT131" i="41"/>
  <c r="AT127" i="41"/>
  <c r="AT123" i="41"/>
  <c r="AT119" i="41"/>
  <c r="AT115" i="41"/>
  <c r="AT111" i="41"/>
  <c r="AT107" i="41"/>
  <c r="AT103" i="41"/>
  <c r="AT99" i="41"/>
  <c r="AT95" i="41"/>
  <c r="AT91" i="41"/>
  <c r="AT87" i="41"/>
  <c r="AT83" i="41"/>
  <c r="AT78" i="41"/>
  <c r="AV73" i="41"/>
  <c r="AV69" i="41"/>
  <c r="AV65" i="41"/>
  <c r="AV61" i="41"/>
  <c r="AV56" i="41"/>
  <c r="AV48" i="41"/>
  <c r="AV40" i="41"/>
  <c r="AV32" i="41"/>
  <c r="AV24" i="41"/>
  <c r="AV16" i="41"/>
  <c r="AT132" i="40"/>
  <c r="AT128" i="40"/>
  <c r="AT124" i="40"/>
  <c r="AT120" i="40"/>
  <c r="AT116" i="40"/>
  <c r="AT112" i="40"/>
  <c r="AT108" i="40"/>
  <c r="AT104" i="40"/>
  <c r="AT100" i="40"/>
  <c r="AT96" i="40"/>
  <c r="AT92" i="40"/>
  <c r="AT88" i="40"/>
  <c r="AT84" i="40"/>
  <c r="AT80" i="40"/>
  <c r="AT75" i="40"/>
  <c r="AV70" i="40"/>
  <c r="AV66" i="40"/>
  <c r="AV62" i="40"/>
  <c r="AV58" i="40"/>
  <c r="AV50" i="40"/>
  <c r="AV42" i="40"/>
  <c r="AV34" i="40"/>
  <c r="AV26" i="40"/>
  <c r="AV18" i="40"/>
  <c r="AV56" i="40"/>
  <c r="AT121" i="41"/>
  <c r="AT93" i="41"/>
  <c r="AT81" i="41"/>
  <c r="AT76" i="41"/>
  <c r="AV63" i="41"/>
  <c r="AV36" i="41"/>
  <c r="AT130" i="40"/>
  <c r="AW43" i="41"/>
  <c r="AW133" i="40"/>
  <c r="AV112" i="41"/>
  <c r="AV96" i="41"/>
  <c r="AV80" i="41"/>
  <c r="AT59" i="41"/>
  <c r="AV133" i="40"/>
  <c r="AV76" i="40"/>
  <c r="AV37" i="40"/>
  <c r="AW134" i="41"/>
  <c r="AW130" i="41"/>
  <c r="AW126" i="41"/>
  <c r="AW122" i="41"/>
  <c r="AW118" i="41"/>
  <c r="AW114" i="41"/>
  <c r="AW110" i="41"/>
  <c r="AW106" i="41"/>
  <c r="AW102" i="41"/>
  <c r="AW98" i="41"/>
  <c r="AW94" i="41"/>
  <c r="AW90" i="41"/>
  <c r="AW86" i="41"/>
  <c r="AW82" i="41"/>
  <c r="AW77" i="41"/>
  <c r="AU73" i="41"/>
  <c r="AU69" i="41"/>
  <c r="AU65" i="41"/>
  <c r="AU61" i="41"/>
  <c r="AW55" i="41"/>
  <c r="AW47" i="41"/>
  <c r="AW39" i="41"/>
  <c r="AW31" i="41"/>
  <c r="AW23" i="41"/>
  <c r="AW135" i="40"/>
  <c r="AW131" i="40"/>
  <c r="AW127" i="40"/>
  <c r="AW123" i="40"/>
  <c r="AW119" i="40"/>
  <c r="AW115" i="40"/>
  <c r="AW111" i="40"/>
  <c r="AW107" i="40"/>
  <c r="AW103" i="40"/>
  <c r="AW99" i="40"/>
  <c r="AW95" i="40"/>
  <c r="AW91" i="40"/>
  <c r="AW87" i="40"/>
  <c r="AW83" i="40"/>
  <c r="AW78" i="40"/>
  <c r="AV74" i="40"/>
  <c r="AU70" i="40"/>
  <c r="AU66" i="40"/>
  <c r="AU62" i="40"/>
  <c r="AW49" i="40"/>
  <c r="AW41" i="40"/>
  <c r="AW33" i="40"/>
  <c r="AW25" i="40"/>
  <c r="AW17" i="40"/>
  <c r="AV49" i="40"/>
  <c r="AV48" i="40"/>
  <c r="AT113" i="41"/>
  <c r="AT126" i="40"/>
  <c r="AW112" i="41"/>
  <c r="AV116" i="41"/>
  <c r="AV27" i="41"/>
  <c r="AV101" i="40"/>
  <c r="AV134" i="41"/>
  <c r="AV130" i="41"/>
  <c r="AV126" i="41"/>
  <c r="AV122" i="41"/>
  <c r="AV118" i="41"/>
  <c r="AV114" i="41"/>
  <c r="AV110" i="41"/>
  <c r="AV106" i="41"/>
  <c r="AV102" i="41"/>
  <c r="AV98" i="41"/>
  <c r="AV94" i="41"/>
  <c r="AV90" i="41"/>
  <c r="AV86" i="41"/>
  <c r="AV82" i="41"/>
  <c r="AV77" i="41"/>
  <c r="AT73" i="41"/>
  <c r="AT69" i="41"/>
  <c r="AT65" i="41"/>
  <c r="AT61" i="41"/>
  <c r="AV55" i="41"/>
  <c r="AV47" i="41"/>
  <c r="AV39" i="41"/>
  <c r="AV31" i="41"/>
  <c r="AV23" i="41"/>
  <c r="AV135" i="40"/>
  <c r="AV131" i="40"/>
  <c r="AV127" i="40"/>
  <c r="AV123" i="40"/>
  <c r="AV119" i="40"/>
  <c r="AV115" i="40"/>
  <c r="AV111" i="40"/>
  <c r="AV107" i="40"/>
  <c r="AV103" i="40"/>
  <c r="AV99" i="40"/>
  <c r="AV95" i="40"/>
  <c r="AV91" i="40"/>
  <c r="AV87" i="40"/>
  <c r="AV83" i="40"/>
  <c r="AV78" i="40"/>
  <c r="AT74" i="40"/>
  <c r="AT70" i="40"/>
  <c r="AT66" i="40"/>
  <c r="AT62" i="40"/>
  <c r="AV41" i="40"/>
  <c r="AT125" i="41"/>
  <c r="AT102" i="40"/>
  <c r="AW108" i="41"/>
  <c r="AW129" i="40"/>
  <c r="AW53" i="40"/>
  <c r="AV113" i="40"/>
  <c r="AV85" i="40"/>
  <c r="AV45" i="40"/>
  <c r="AU134" i="41"/>
  <c r="AU130" i="41"/>
  <c r="AU126" i="41"/>
  <c r="AU122" i="41"/>
  <c r="AU118" i="41"/>
  <c r="AU114" i="41"/>
  <c r="AU110" i="41"/>
  <c r="AU106" i="41"/>
  <c r="AU102" i="41"/>
  <c r="AU98" i="41"/>
  <c r="AU94" i="41"/>
  <c r="AU90" i="41"/>
  <c r="AU86" i="41"/>
  <c r="AU82" i="41"/>
  <c r="AU77" i="41"/>
  <c r="AW72" i="41"/>
  <c r="AW68" i="41"/>
  <c r="AW64" i="41"/>
  <c r="AW60" i="41"/>
  <c r="AW54" i="41"/>
  <c r="AW46" i="41"/>
  <c r="AW38" i="41"/>
  <c r="AW30" i="41"/>
  <c r="AW22" i="41"/>
  <c r="AU135" i="40"/>
  <c r="AU131" i="40"/>
  <c r="AU127" i="40"/>
  <c r="AU123" i="40"/>
  <c r="AU119" i="40"/>
  <c r="AU115" i="40"/>
  <c r="AU111" i="40"/>
  <c r="AU107" i="40"/>
  <c r="AU103" i="40"/>
  <c r="AU99" i="40"/>
  <c r="AU95" i="40"/>
  <c r="AU91" i="40"/>
  <c r="AU87" i="40"/>
  <c r="AU83" i="40"/>
  <c r="AU78" i="40"/>
  <c r="AW73" i="40"/>
  <c r="AW69" i="40"/>
  <c r="AW65" i="40"/>
  <c r="AW61" i="40"/>
  <c r="AW56" i="40"/>
  <c r="AW48" i="40"/>
  <c r="AW40" i="40"/>
  <c r="AW32" i="40"/>
  <c r="AW24" i="40"/>
  <c r="AW16" i="40"/>
  <c r="AV40" i="40"/>
  <c r="AT101" i="41"/>
  <c r="AT94" i="40"/>
  <c r="AW89" i="40"/>
  <c r="AU72" i="40"/>
  <c r="AW45" i="40"/>
  <c r="AV132" i="41"/>
  <c r="AV35" i="41"/>
  <c r="AV89" i="40"/>
  <c r="AT134" i="41"/>
  <c r="AT130" i="41"/>
  <c r="AT126" i="41"/>
  <c r="AT122" i="41"/>
  <c r="AT118" i="41"/>
  <c r="AT114" i="41"/>
  <c r="AT110" i="41"/>
  <c r="AT106" i="41"/>
  <c r="AT102" i="41"/>
  <c r="AT98" i="41"/>
  <c r="AT94" i="41"/>
  <c r="AT90" i="41"/>
  <c r="AT86" i="41"/>
  <c r="AT82" i="41"/>
  <c r="AT77" i="41"/>
  <c r="AV72" i="41"/>
  <c r="AV68" i="41"/>
  <c r="AV64" i="41"/>
  <c r="AV60" i="41"/>
  <c r="AV54" i="41"/>
  <c r="AV46" i="41"/>
  <c r="AV38" i="41"/>
  <c r="AV30" i="41"/>
  <c r="AV22" i="41"/>
  <c r="AT135" i="40"/>
  <c r="AT131" i="40"/>
  <c r="AT127" i="40"/>
  <c r="AT123" i="40"/>
  <c r="AT119" i="40"/>
  <c r="AT115" i="40"/>
  <c r="AT111" i="40"/>
  <c r="AT107" i="40"/>
  <c r="AT103" i="40"/>
  <c r="AT99" i="40"/>
  <c r="AT95" i="40"/>
  <c r="AT91" i="40"/>
  <c r="AT87" i="40"/>
  <c r="AT83" i="40"/>
  <c r="AT78" i="40"/>
  <c r="AV73" i="40"/>
  <c r="AV69" i="40"/>
  <c r="AV65" i="40"/>
  <c r="AV61" i="40"/>
  <c r="AT97" i="41"/>
  <c r="AV52" i="41"/>
  <c r="AT110" i="40"/>
  <c r="AV64" i="40"/>
  <c r="AW120" i="41"/>
  <c r="AW133" i="41"/>
  <c r="AW129" i="41"/>
  <c r="AW125" i="41"/>
  <c r="AW121" i="41"/>
  <c r="AW117" i="41"/>
  <c r="AW113" i="41"/>
  <c r="AW109" i="41"/>
  <c r="AW101" i="41"/>
  <c r="AW97" i="41"/>
  <c r="AW93" i="41"/>
  <c r="AW89" i="41"/>
  <c r="AW85" i="41"/>
  <c r="AW81" i="41"/>
  <c r="AW76" i="41"/>
  <c r="AU72" i="41"/>
  <c r="AU68" i="41"/>
  <c r="AU64" i="41"/>
  <c r="AU60" i="41"/>
  <c r="AW53" i="41"/>
  <c r="AW45" i="41"/>
  <c r="AW37" i="41"/>
  <c r="AW29" i="41"/>
  <c r="AW21" i="41"/>
  <c r="AW134" i="40"/>
  <c r="AW130" i="40"/>
  <c r="AW126" i="40"/>
  <c r="AW122" i="40"/>
  <c r="AW118" i="40"/>
  <c r="AW114" i="40"/>
  <c r="AW110" i="40"/>
  <c r="AW106" i="40"/>
  <c r="AW102" i="40"/>
  <c r="AW98" i="40"/>
  <c r="AW94" i="40"/>
  <c r="AW90" i="40"/>
  <c r="AW86" i="40"/>
  <c r="AW82" i="40"/>
  <c r="AW77" i="40"/>
  <c r="AU73" i="40"/>
  <c r="AU69" i="40"/>
  <c r="AU65" i="40"/>
  <c r="AU61" i="40"/>
  <c r="AW55" i="40"/>
  <c r="AW47" i="40"/>
  <c r="AW39" i="40"/>
  <c r="AW31" i="40"/>
  <c r="AW23" i="40"/>
  <c r="AT129" i="41"/>
  <c r="AV20" i="41"/>
  <c r="AT98" i="40"/>
  <c r="AV68" i="40"/>
  <c r="AV30" i="40"/>
  <c r="AW132" i="41"/>
  <c r="AW104" i="41"/>
  <c r="AW88" i="41"/>
  <c r="AW80" i="41"/>
  <c r="AU71" i="41"/>
  <c r="AU59" i="41"/>
  <c r="AW27" i="41"/>
  <c r="AW121" i="40"/>
  <c r="AW85" i="40"/>
  <c r="AU60" i="40"/>
  <c r="AW21" i="40"/>
  <c r="AV128" i="41"/>
  <c r="AT67" i="41"/>
  <c r="AV117" i="40"/>
  <c r="AV81" i="40"/>
  <c r="AT60" i="40"/>
  <c r="AV133" i="41"/>
  <c r="AV129" i="41"/>
  <c r="AV125" i="41"/>
  <c r="AV121" i="41"/>
  <c r="AV117" i="41"/>
  <c r="AV113" i="41"/>
  <c r="AV109" i="41"/>
  <c r="AV101" i="41"/>
  <c r="AV97" i="41"/>
  <c r="AV93" i="41"/>
  <c r="AV89" i="41"/>
  <c r="AV85" i="41"/>
  <c r="AV81" i="41"/>
  <c r="AV76" i="41"/>
  <c r="AT72" i="41"/>
  <c r="AT68" i="41"/>
  <c r="AT64" i="41"/>
  <c r="AT60" i="41"/>
  <c r="AV53" i="41"/>
  <c r="AV45" i="41"/>
  <c r="AV37" i="41"/>
  <c r="AV29" i="41"/>
  <c r="AV21" i="41"/>
  <c r="AV134" i="40"/>
  <c r="AV130" i="40"/>
  <c r="AV126" i="40"/>
  <c r="AV122" i="40"/>
  <c r="AV118" i="40"/>
  <c r="AV114" i="40"/>
  <c r="AV110" i="40"/>
  <c r="AV106" i="40"/>
  <c r="AV102" i="40"/>
  <c r="AV98" i="40"/>
  <c r="AV94" i="40"/>
  <c r="AV90" i="40"/>
  <c r="AV86" i="40"/>
  <c r="AV82" i="40"/>
  <c r="AV77" i="40"/>
  <c r="AT73" i="40"/>
  <c r="AT69" i="40"/>
  <c r="AT65" i="40"/>
  <c r="AT61" i="40"/>
  <c r="AV55" i="40"/>
  <c r="AV47" i="40"/>
  <c r="AV39" i="40"/>
  <c r="AV31" i="40"/>
  <c r="AV23" i="40"/>
  <c r="AW92" i="41"/>
  <c r="AW109" i="40"/>
  <c r="AW97" i="40"/>
  <c r="AW93" i="40"/>
  <c r="AW81" i="40"/>
  <c r="AW76" i="40"/>
  <c r="AU64" i="40"/>
  <c r="AW37" i="40"/>
  <c r="AU133" i="41"/>
  <c r="AU129" i="41"/>
  <c r="AU125" i="41"/>
  <c r="AU121" i="41"/>
  <c r="AU117" i="41"/>
  <c r="AU113" i="41"/>
  <c r="AU109" i="41"/>
  <c r="AU101" i="41"/>
  <c r="AU97" i="41"/>
  <c r="AU93" i="41"/>
  <c r="AU89" i="41"/>
  <c r="AU85" i="41"/>
  <c r="AU81" i="41"/>
  <c r="AU76" i="41"/>
  <c r="AW71" i="41"/>
  <c r="AW67" i="41"/>
  <c r="AW63" i="41"/>
  <c r="AW59" i="41"/>
  <c r="AW52" i="41"/>
  <c r="AW44" i="41"/>
  <c r="AW36" i="41"/>
  <c r="AW28" i="41"/>
  <c r="AW20" i="41"/>
  <c r="AU134" i="40"/>
  <c r="AU130" i="40"/>
  <c r="AU126" i="40"/>
  <c r="AU122" i="40"/>
  <c r="AU118" i="40"/>
  <c r="AU114" i="40"/>
  <c r="AU110" i="40"/>
  <c r="AU106" i="40"/>
  <c r="AU102" i="40"/>
  <c r="AU98" i="40"/>
  <c r="AU94" i="40"/>
  <c r="AU90" i="40"/>
  <c r="AU86" i="40"/>
  <c r="AU82" i="40"/>
  <c r="AU77" i="40"/>
  <c r="AW72" i="40"/>
  <c r="AW68" i="40"/>
  <c r="AW64" i="40"/>
  <c r="AW60" i="40"/>
  <c r="AW54" i="40"/>
  <c r="AW46" i="40"/>
  <c r="AW38" i="40"/>
  <c r="AW30" i="40"/>
  <c r="AW22" i="40"/>
  <c r="AT133" i="41"/>
  <c r="AT89" i="41"/>
  <c r="AV67" i="41"/>
  <c r="AV44" i="41"/>
  <c r="AT134" i="40"/>
  <c r="AW116" i="41"/>
  <c r="AW84" i="41"/>
  <c r="AW75" i="41"/>
  <c r="AU63" i="41"/>
  <c r="AW51" i="41"/>
  <c r="AW19" i="41"/>
  <c r="AW125" i="40"/>
  <c r="AW29" i="40"/>
  <c r="AV120" i="41"/>
  <c r="AT71" i="41"/>
  <c r="AV19" i="41"/>
  <c r="AV109" i="40"/>
  <c r="AT72" i="40"/>
  <c r="AV53" i="40"/>
  <c r="AW135" i="24"/>
  <c r="AW133" i="24"/>
  <c r="AW131" i="24"/>
  <c r="AW129" i="24"/>
  <c r="AW127" i="24"/>
  <c r="AW125" i="24"/>
  <c r="AW123" i="24"/>
  <c r="AW121" i="24"/>
  <c r="AW119" i="24"/>
  <c r="AW117" i="24"/>
  <c r="AW115" i="24"/>
  <c r="AW113" i="24"/>
  <c r="AW111" i="24"/>
  <c r="AW109" i="24"/>
  <c r="AW107" i="24"/>
  <c r="AW98" i="24"/>
  <c r="AW96" i="24"/>
  <c r="AW94" i="24"/>
  <c r="AW92" i="24"/>
  <c r="AW90" i="24"/>
  <c r="AW88" i="24"/>
  <c r="AW86" i="24"/>
  <c r="AW84" i="24"/>
  <c r="AW82" i="24"/>
  <c r="AW80" i="24"/>
  <c r="AW78" i="24"/>
  <c r="AW76" i="24"/>
  <c r="AW72" i="24"/>
  <c r="AW70" i="24"/>
  <c r="AW68" i="24"/>
  <c r="AW66" i="24"/>
  <c r="AW64" i="24"/>
  <c r="AW62" i="24"/>
  <c r="AW60" i="24"/>
  <c r="AV76" i="24"/>
  <c r="AV70" i="24"/>
  <c r="AV66" i="24"/>
  <c r="AV60" i="24"/>
  <c r="AT127" i="24"/>
  <c r="AT115" i="24"/>
  <c r="AT109" i="24"/>
  <c r="AT98" i="24"/>
  <c r="AT92" i="24"/>
  <c r="AT84" i="24"/>
  <c r="AT80" i="24"/>
  <c r="AT74" i="24"/>
  <c r="AT68" i="24"/>
  <c r="AT60" i="24"/>
  <c r="AW85" i="24"/>
  <c r="AW73" i="24"/>
  <c r="AV135" i="24"/>
  <c r="AV133" i="24"/>
  <c r="AV131" i="24"/>
  <c r="AV129" i="24"/>
  <c r="AV127" i="24"/>
  <c r="AV125" i="24"/>
  <c r="AV123" i="24"/>
  <c r="AV121" i="24"/>
  <c r="AV119" i="24"/>
  <c r="AV117" i="24"/>
  <c r="AV115" i="24"/>
  <c r="AV113" i="24"/>
  <c r="AV111" i="24"/>
  <c r="AV109" i="24"/>
  <c r="AV107" i="24"/>
  <c r="AV98" i="24"/>
  <c r="AV96" i="24"/>
  <c r="AV94" i="24"/>
  <c r="AV92" i="24"/>
  <c r="AV90" i="24"/>
  <c r="AV88" i="24"/>
  <c r="AV86" i="24"/>
  <c r="AV84" i="24"/>
  <c r="AV82" i="24"/>
  <c r="AV80" i="24"/>
  <c r="AV74" i="24"/>
  <c r="AV64" i="24"/>
  <c r="AT121" i="24"/>
  <c r="AT90" i="24"/>
  <c r="AT66" i="24"/>
  <c r="AW102" i="24"/>
  <c r="AV102" i="24"/>
  <c r="AW53" i="24"/>
  <c r="AW49" i="24"/>
  <c r="AW45" i="24"/>
  <c r="AW41" i="24"/>
  <c r="AW37" i="24"/>
  <c r="AW33" i="24"/>
  <c r="AW29" i="24"/>
  <c r="AW25" i="24"/>
  <c r="AW21" i="24"/>
  <c r="AW17" i="24"/>
  <c r="AU135" i="24"/>
  <c r="AU133" i="24"/>
  <c r="AU131" i="24"/>
  <c r="AU129" i="24"/>
  <c r="AU127" i="24"/>
  <c r="AU125" i="24"/>
  <c r="AU123" i="24"/>
  <c r="AU121" i="24"/>
  <c r="AU119" i="24"/>
  <c r="AU117" i="24"/>
  <c r="AU115" i="24"/>
  <c r="AU113" i="24"/>
  <c r="AU111" i="24"/>
  <c r="AU109" i="24"/>
  <c r="AU107" i="24"/>
  <c r="AV100" i="24"/>
  <c r="AU98" i="24"/>
  <c r="AU96" i="24"/>
  <c r="AU94" i="24"/>
  <c r="AU92" i="24"/>
  <c r="AU90" i="24"/>
  <c r="AU88" i="24"/>
  <c r="AU86" i="24"/>
  <c r="AU84" i="24"/>
  <c r="AU82" i="24"/>
  <c r="AU80" i="24"/>
  <c r="AU78" i="24"/>
  <c r="AU76" i="24"/>
  <c r="AU72" i="24"/>
  <c r="AU70" i="24"/>
  <c r="AU68" i="24"/>
  <c r="AU66" i="24"/>
  <c r="AU64" i="24"/>
  <c r="AU62" i="24"/>
  <c r="AU60" i="24"/>
  <c r="AT133" i="24"/>
  <c r="AT125" i="24"/>
  <c r="AT119" i="24"/>
  <c r="AT117" i="24"/>
  <c r="AT111" i="24"/>
  <c r="AT107" i="24"/>
  <c r="AT100" i="24"/>
  <c r="AT94" i="24"/>
  <c r="AT86" i="24"/>
  <c r="AT78" i="24"/>
  <c r="AT72" i="24"/>
  <c r="AT62" i="24"/>
  <c r="AW104" i="24"/>
  <c r="AW87" i="24"/>
  <c r="AW71" i="24"/>
  <c r="AV53" i="24"/>
  <c r="AV49" i="24"/>
  <c r="AV45" i="24"/>
  <c r="AV41" i="24"/>
  <c r="AV37" i="24"/>
  <c r="AV33" i="24"/>
  <c r="AV29" i="24"/>
  <c r="AV25" i="24"/>
  <c r="AV21" i="24"/>
  <c r="AV17" i="24"/>
  <c r="AT135" i="24"/>
  <c r="AT131" i="24"/>
  <c r="AT123" i="24"/>
  <c r="AW61" i="24"/>
  <c r="AV104" i="24"/>
  <c r="AW56" i="24"/>
  <c r="AW48" i="24"/>
  <c r="AW44" i="24"/>
  <c r="AW40" i="24"/>
  <c r="AW36" i="24"/>
  <c r="AW32" i="24"/>
  <c r="AW28" i="24"/>
  <c r="AW24" i="24"/>
  <c r="AW20" i="24"/>
  <c r="AW16" i="24"/>
  <c r="AU104" i="24"/>
  <c r="AV56" i="24"/>
  <c r="AV48" i="24"/>
  <c r="AV44" i="24"/>
  <c r="AV40" i="24"/>
  <c r="AV36" i="24"/>
  <c r="AV32" i="24"/>
  <c r="AV28" i="24"/>
  <c r="AV24" i="24"/>
  <c r="AV20" i="24"/>
  <c r="AV16" i="24"/>
  <c r="AT104" i="24"/>
  <c r="AT102" i="24"/>
  <c r="AW134" i="24"/>
  <c r="AW132" i="24"/>
  <c r="AW130" i="24"/>
  <c r="AW128" i="24"/>
  <c r="AW126" i="24"/>
  <c r="AW124" i="24"/>
  <c r="AW122" i="24"/>
  <c r="AW120" i="24"/>
  <c r="AW118" i="24"/>
  <c r="AW116" i="24"/>
  <c r="AW114" i="24"/>
  <c r="AW112" i="24"/>
  <c r="AW110" i="24"/>
  <c r="AW108" i="24"/>
  <c r="AW106" i="24"/>
  <c r="AW99" i="24"/>
  <c r="AW97" i="24"/>
  <c r="AW95" i="24"/>
  <c r="AW63" i="24"/>
  <c r="AV134" i="24"/>
  <c r="AV132" i="24"/>
  <c r="AV130" i="24"/>
  <c r="AV128" i="24"/>
  <c r="AV126" i="24"/>
  <c r="AV124" i="24"/>
  <c r="AV122" i="24"/>
  <c r="AV120" i="24"/>
  <c r="AV118" i="24"/>
  <c r="AV116" i="24"/>
  <c r="AV114" i="24"/>
  <c r="AV112" i="24"/>
  <c r="AV110" i="24"/>
  <c r="AV108" i="24"/>
  <c r="AV106" i="24"/>
  <c r="AV99" i="24"/>
  <c r="AV97" i="24"/>
  <c r="AV95" i="24"/>
  <c r="AV93" i="24"/>
  <c r="AV91" i="24"/>
  <c r="AV89" i="24"/>
  <c r="AV87" i="24"/>
  <c r="AV85" i="24"/>
  <c r="AV83" i="24"/>
  <c r="AV81" i="24"/>
  <c r="AV77" i="24"/>
  <c r="AV75" i="24"/>
  <c r="AV73" i="24"/>
  <c r="AV71" i="24"/>
  <c r="AV69" i="24"/>
  <c r="AV67" i="24"/>
  <c r="AV65" i="24"/>
  <c r="AV63" i="24"/>
  <c r="AV61" i="24"/>
  <c r="AV59" i="24"/>
  <c r="AT77" i="24"/>
  <c r="AT71" i="24"/>
  <c r="AT67" i="24"/>
  <c r="AT61" i="24"/>
  <c r="AT59" i="24"/>
  <c r="AV101" i="24"/>
  <c r="AU101" i="24"/>
  <c r="AW83" i="24"/>
  <c r="AW65" i="24"/>
  <c r="AW55" i="24"/>
  <c r="AW51" i="24"/>
  <c r="AW43" i="24"/>
  <c r="AW39" i="24"/>
  <c r="AW35" i="24"/>
  <c r="AW31" i="24"/>
  <c r="AW27" i="24"/>
  <c r="AW23" i="24"/>
  <c r="AW19" i="24"/>
  <c r="AW58" i="24"/>
  <c r="AU134" i="24"/>
  <c r="AU132" i="24"/>
  <c r="AU130" i="24"/>
  <c r="AU128" i="24"/>
  <c r="AU126" i="24"/>
  <c r="AU124" i="24"/>
  <c r="AU122" i="24"/>
  <c r="AU120" i="24"/>
  <c r="AU118" i="24"/>
  <c r="AU116" i="24"/>
  <c r="AU114" i="24"/>
  <c r="AU112" i="24"/>
  <c r="AU110" i="24"/>
  <c r="AU108" i="24"/>
  <c r="AU106" i="24"/>
  <c r="AU99" i="24"/>
  <c r="AU97" i="24"/>
  <c r="AU95" i="24"/>
  <c r="AU93" i="24"/>
  <c r="AU91" i="24"/>
  <c r="AU89" i="24"/>
  <c r="AU87" i="24"/>
  <c r="AU85" i="24"/>
  <c r="AU83" i="24"/>
  <c r="AU81" i="24"/>
  <c r="AU77" i="24"/>
  <c r="AU75" i="24"/>
  <c r="AU73" i="24"/>
  <c r="AU71" i="24"/>
  <c r="AU69" i="24"/>
  <c r="AU67" i="24"/>
  <c r="AU65" i="24"/>
  <c r="AU63" i="24"/>
  <c r="AU61" i="24"/>
  <c r="AU59" i="24"/>
  <c r="AT73" i="24"/>
  <c r="AT69" i="24"/>
  <c r="AT63" i="24"/>
  <c r="AU103" i="24"/>
  <c r="AW89" i="24"/>
  <c r="AW69" i="24"/>
  <c r="AV55" i="24"/>
  <c r="AV51" i="24"/>
  <c r="AV47" i="24"/>
  <c r="AV43" i="24"/>
  <c r="AV39" i="24"/>
  <c r="AV35" i="24"/>
  <c r="AV31" i="24"/>
  <c r="AV27" i="24"/>
  <c r="AV23" i="24"/>
  <c r="AV19" i="24"/>
  <c r="AV58" i="24"/>
  <c r="AT134" i="24"/>
  <c r="AT132" i="24"/>
  <c r="AT130" i="24"/>
  <c r="AT128" i="24"/>
  <c r="AT126" i="24"/>
  <c r="AT124" i="24"/>
  <c r="AT122" i="24"/>
  <c r="AT120" i="24"/>
  <c r="AT118" i="24"/>
  <c r="AT116" i="24"/>
  <c r="AT114" i="24"/>
  <c r="AT112" i="24"/>
  <c r="AT110" i="24"/>
  <c r="AT108" i="24"/>
  <c r="AT106" i="24"/>
  <c r="AT99" i="24"/>
  <c r="AT97" i="24"/>
  <c r="AT95" i="24"/>
  <c r="AT93" i="24"/>
  <c r="AT91" i="24"/>
  <c r="AT89" i="24"/>
  <c r="AT87" i="24"/>
  <c r="AT85" i="24"/>
  <c r="AT83" i="24"/>
  <c r="AT81" i="24"/>
  <c r="AT75" i="24"/>
  <c r="AT65" i="24"/>
  <c r="AW81" i="24"/>
  <c r="AW103" i="24"/>
  <c r="AW101" i="24"/>
  <c r="AV103" i="24"/>
  <c r="AW93" i="24"/>
  <c r="AW75" i="24"/>
  <c r="AW59" i="24"/>
  <c r="AW54" i="24"/>
  <c r="AW50" i="24"/>
  <c r="AW46" i="24"/>
  <c r="AW42" i="24"/>
  <c r="AW38" i="24"/>
  <c r="AW34" i="24"/>
  <c r="AW30" i="24"/>
  <c r="AW26" i="24"/>
  <c r="AW22" i="24"/>
  <c r="AW18" i="24"/>
  <c r="AW77" i="24"/>
  <c r="AV54" i="24"/>
  <c r="AV50" i="24"/>
  <c r="AV46" i="24"/>
  <c r="AV42" i="24"/>
  <c r="AV38" i="24"/>
  <c r="AV34" i="24"/>
  <c r="AV30" i="24"/>
  <c r="AV26" i="24"/>
  <c r="AV22" i="24"/>
  <c r="AV18" i="24"/>
  <c r="AT103" i="24"/>
  <c r="AT101" i="24"/>
  <c r="AV78" i="24"/>
  <c r="AV72" i="24"/>
  <c r="AV68" i="24"/>
  <c r="AV62" i="24"/>
  <c r="AT129" i="24"/>
  <c r="AT113" i="24"/>
  <c r="AT96" i="24"/>
  <c r="AT88" i="24"/>
  <c r="AT82" i="24"/>
  <c r="AT76" i="24"/>
  <c r="AT70" i="24"/>
  <c r="AT64" i="24"/>
  <c r="AU102" i="24"/>
  <c r="AW91" i="24"/>
  <c r="AW67" i="24"/>
  <c r="C19" i="1"/>
  <c r="C129" i="40"/>
  <c r="C121" i="40"/>
  <c r="C113" i="40"/>
  <c r="C105" i="40"/>
  <c r="C131" i="41"/>
  <c r="C123" i="41"/>
  <c r="C115" i="41"/>
  <c r="C107" i="41"/>
  <c r="C95" i="41"/>
  <c r="C87" i="41"/>
  <c r="C79" i="41"/>
  <c r="C71" i="41"/>
  <c r="C63" i="41"/>
  <c r="C55" i="41"/>
  <c r="C47" i="41"/>
  <c r="C39" i="41"/>
  <c r="C31" i="41"/>
  <c r="C23" i="41"/>
  <c r="C134" i="41"/>
  <c r="C126" i="41"/>
  <c r="C118" i="41"/>
  <c r="C110" i="41"/>
  <c r="C102" i="41"/>
  <c r="C98" i="41"/>
  <c r="C90" i="41"/>
  <c r="C82" i="41"/>
  <c r="C74" i="41"/>
  <c r="C66" i="41"/>
  <c r="C52" i="41"/>
  <c r="C44" i="41"/>
  <c r="C36" i="41"/>
  <c r="C28" i="41"/>
  <c r="C20" i="41"/>
  <c r="C129" i="41"/>
  <c r="C121" i="41"/>
  <c r="C113" i="41"/>
  <c r="C105" i="41"/>
  <c r="C93" i="41"/>
  <c r="C85" i="41"/>
  <c r="C77" i="41"/>
  <c r="C69" i="41"/>
  <c r="C61" i="41"/>
  <c r="C57" i="41"/>
  <c r="C49" i="41"/>
  <c r="C41" i="41"/>
  <c r="C33" i="41"/>
  <c r="C25" i="41"/>
  <c r="C17" i="41"/>
  <c r="C130" i="40"/>
  <c r="C122" i="40"/>
  <c r="C132" i="41"/>
  <c r="C124" i="41"/>
  <c r="C116" i="41"/>
  <c r="C108" i="41"/>
  <c r="C96" i="41"/>
  <c r="C88" i="41"/>
  <c r="C80" i="41"/>
  <c r="C72" i="41"/>
  <c r="C64" i="41"/>
  <c r="C54" i="41"/>
  <c r="C46" i="41"/>
  <c r="C38" i="41"/>
  <c r="C30" i="41"/>
  <c r="C22" i="41"/>
  <c r="C133" i="40"/>
  <c r="C125" i="40"/>
  <c r="C117" i="40"/>
  <c r="C135" i="41"/>
  <c r="C127" i="41"/>
  <c r="C119" i="41"/>
  <c r="C111" i="41"/>
  <c r="C103" i="41"/>
  <c r="C99" i="41"/>
  <c r="C91" i="41"/>
  <c r="C83" i="41"/>
  <c r="C75" i="41"/>
  <c r="C67" i="41"/>
  <c r="C59" i="41"/>
  <c r="C51" i="41"/>
  <c r="C43" i="41"/>
  <c r="C35" i="41"/>
  <c r="C27" i="41"/>
  <c r="C19" i="41"/>
  <c r="C128" i="40"/>
  <c r="C120" i="40"/>
  <c r="C112" i="40"/>
  <c r="C130" i="41"/>
  <c r="C122" i="41"/>
  <c r="C114" i="41"/>
  <c r="C106" i="41"/>
  <c r="C94" i="41"/>
  <c r="C86" i="41"/>
  <c r="C78" i="41"/>
  <c r="C70" i="41"/>
  <c r="C62" i="41"/>
  <c r="C56" i="41"/>
  <c r="C48" i="41"/>
  <c r="C40" i="41"/>
  <c r="C32" i="41"/>
  <c r="C24" i="41"/>
  <c r="C16" i="41"/>
  <c r="C84" i="41"/>
  <c r="C58" i="41"/>
  <c r="C29" i="41"/>
  <c r="C101" i="40"/>
  <c r="C97" i="40"/>
  <c r="C89" i="40"/>
  <c r="C81" i="40"/>
  <c r="C73" i="40"/>
  <c r="C65" i="40"/>
  <c r="C53" i="40"/>
  <c r="C45" i="40"/>
  <c r="C37" i="40"/>
  <c r="C29" i="40"/>
  <c r="C21" i="40"/>
  <c r="C101" i="41"/>
  <c r="C92" i="41"/>
  <c r="C126" i="40"/>
  <c r="C116" i="40"/>
  <c r="C109" i="41"/>
  <c r="C100" i="41"/>
  <c r="C42" i="41"/>
  <c r="C114" i="40"/>
  <c r="C110" i="40"/>
  <c r="C108" i="40"/>
  <c r="C100" i="40"/>
  <c r="C92" i="40"/>
  <c r="C84" i="40"/>
  <c r="C76" i="40"/>
  <c r="C68" i="40"/>
  <c r="C60" i="40"/>
  <c r="C58" i="40"/>
  <c r="C50" i="40"/>
  <c r="C42" i="40"/>
  <c r="C34" i="40"/>
  <c r="C26" i="40"/>
  <c r="C18" i="40"/>
  <c r="C81" i="41"/>
  <c r="C53" i="41"/>
  <c r="C117" i="41"/>
  <c r="C65" i="41"/>
  <c r="C134" i="40"/>
  <c r="C131" i="40"/>
  <c r="C123" i="40"/>
  <c r="C118" i="40"/>
  <c r="C106" i="40"/>
  <c r="C125" i="41"/>
  <c r="C73" i="41"/>
  <c r="C26" i="41"/>
  <c r="C104" i="40"/>
  <c r="C95" i="40"/>
  <c r="C87" i="40"/>
  <c r="C79" i="40"/>
  <c r="C71" i="40"/>
  <c r="C63" i="40"/>
  <c r="C55" i="40"/>
  <c r="C47" i="40"/>
  <c r="C39" i="40"/>
  <c r="C31" i="40"/>
  <c r="C23" i="40"/>
  <c r="C133" i="41"/>
  <c r="C89" i="41"/>
  <c r="C102" i="40"/>
  <c r="C98" i="40"/>
  <c r="C90" i="40"/>
  <c r="C82" i="40"/>
  <c r="C74" i="40"/>
  <c r="C66" i="40"/>
  <c r="C52" i="40"/>
  <c r="C44" i="40"/>
  <c r="C36" i="40"/>
  <c r="C28" i="40"/>
  <c r="C20" i="40"/>
  <c r="C97" i="41"/>
  <c r="C37" i="41"/>
  <c r="C60" i="41"/>
  <c r="C93" i="40"/>
  <c r="C85" i="40"/>
  <c r="C77" i="40"/>
  <c r="C69" i="40"/>
  <c r="C61" i="40"/>
  <c r="C57" i="40"/>
  <c r="C49" i="40"/>
  <c r="C41" i="40"/>
  <c r="C33" i="40"/>
  <c r="C25" i="40"/>
  <c r="C17" i="40"/>
  <c r="C124" i="40"/>
  <c r="C50" i="41"/>
  <c r="C21" i="41"/>
  <c r="C115" i="40"/>
  <c r="C18" i="41"/>
  <c r="C111" i="40"/>
  <c r="C107" i="40"/>
  <c r="C96" i="40"/>
  <c r="C88" i="40"/>
  <c r="C80" i="40"/>
  <c r="C72" i="40"/>
  <c r="C64" i="40"/>
  <c r="C54" i="40"/>
  <c r="C46" i="40"/>
  <c r="C38" i="40"/>
  <c r="C30" i="40"/>
  <c r="C22" i="40"/>
  <c r="C112" i="41"/>
  <c r="C34" i="41"/>
  <c r="C127" i="40"/>
  <c r="C109" i="40"/>
  <c r="C119" i="40"/>
  <c r="C104" i="41"/>
  <c r="C103" i="40"/>
  <c r="C99" i="40"/>
  <c r="C91" i="40"/>
  <c r="C83" i="40"/>
  <c r="C75" i="40"/>
  <c r="C67" i="40"/>
  <c r="C59" i="40"/>
  <c r="C51" i="40"/>
  <c r="C43" i="40"/>
  <c r="C35" i="40"/>
  <c r="C27" i="40"/>
  <c r="C19" i="40"/>
  <c r="C120" i="41"/>
  <c r="C68" i="41"/>
  <c r="C45" i="41"/>
  <c r="C135" i="40"/>
  <c r="C132" i="40"/>
  <c r="C94" i="40"/>
  <c r="C86" i="40"/>
  <c r="C78" i="40"/>
  <c r="C70" i="40"/>
  <c r="C62" i="40"/>
  <c r="C56" i="40"/>
  <c r="C48" i="40"/>
  <c r="C40" i="40"/>
  <c r="C32" i="40"/>
  <c r="C24" i="40"/>
  <c r="C16" i="40"/>
  <c r="C128" i="41"/>
  <c r="C76" i="41"/>
  <c r="F6" i="1"/>
  <c r="X3" i="20"/>
  <c r="Y14" i="10"/>
  <c r="W14" i="10"/>
  <c r="P14" i="10"/>
  <c r="N14" i="10"/>
  <c r="X3" i="10"/>
  <c r="S13" i="10" s="1"/>
  <c r="U123" i="9"/>
  <c r="U122" i="9"/>
  <c r="U121" i="9"/>
  <c r="U120" i="9"/>
  <c r="U119" i="9"/>
  <c r="U118" i="9"/>
  <c r="U117" i="9"/>
  <c r="U116" i="9"/>
  <c r="U115" i="9"/>
  <c r="U114" i="9"/>
  <c r="U113" i="9"/>
  <c r="U112" i="9"/>
  <c r="U111" i="9"/>
  <c r="U110" i="9"/>
  <c r="U109" i="9"/>
  <c r="U108" i="9"/>
  <c r="U107" i="9"/>
  <c r="U106" i="9"/>
  <c r="U105" i="9"/>
  <c r="U104" i="9"/>
  <c r="U103" i="9"/>
  <c r="U102" i="9"/>
  <c r="U101" i="9"/>
  <c r="U100" i="9"/>
  <c r="U99" i="9"/>
  <c r="U98" i="9"/>
  <c r="U97" i="9"/>
  <c r="U96" i="9"/>
  <c r="U95" i="9"/>
  <c r="U94" i="9"/>
  <c r="U93" i="9"/>
  <c r="U92" i="9"/>
  <c r="U91" i="9"/>
  <c r="U90" i="9"/>
  <c r="U89" i="9"/>
  <c r="U88" i="9"/>
  <c r="U87" i="9"/>
  <c r="U86" i="9"/>
  <c r="U85" i="9"/>
  <c r="U84" i="9"/>
  <c r="U83" i="9"/>
  <c r="U82" i="9"/>
  <c r="U81" i="9"/>
  <c r="U80" i="9"/>
  <c r="U79" i="9"/>
  <c r="U78" i="9"/>
  <c r="U77" i="9"/>
  <c r="U76" i="9"/>
  <c r="U75" i="9"/>
  <c r="U74" i="9"/>
  <c r="U73" i="9"/>
  <c r="U72" i="9"/>
  <c r="U71" i="9"/>
  <c r="U70" i="9"/>
  <c r="U69" i="9"/>
  <c r="U68" i="9"/>
  <c r="U67" i="9"/>
  <c r="U66" i="9"/>
  <c r="U65" i="9"/>
  <c r="U64" i="9"/>
  <c r="U63" i="9"/>
  <c r="U62" i="9"/>
  <c r="U61" i="9"/>
  <c r="U60" i="9"/>
  <c r="U59" i="9"/>
  <c r="U58" i="9"/>
  <c r="U57" i="9"/>
  <c r="U56" i="9"/>
  <c r="U55" i="9"/>
  <c r="U54" i="9"/>
  <c r="U53" i="9"/>
  <c r="U52" i="9"/>
  <c r="U51" i="9"/>
  <c r="U50" i="9"/>
  <c r="U49" i="9"/>
  <c r="U48" i="9"/>
  <c r="U47" i="9"/>
  <c r="U46" i="9"/>
  <c r="M46" i="9"/>
  <c r="I46" i="9" s="1"/>
  <c r="I47" i="9" s="1"/>
  <c r="I48" i="9" s="1"/>
  <c r="I49" i="9" s="1"/>
  <c r="I50" i="9" s="1"/>
  <c r="I51" i="9" s="1"/>
  <c r="I52" i="9" s="1"/>
  <c r="I53" i="9" s="1"/>
  <c r="I54" i="9" s="1"/>
  <c r="I55" i="9" s="1"/>
  <c r="I56" i="9" s="1"/>
  <c r="I57" i="9" s="1"/>
  <c r="I58" i="9" s="1"/>
  <c r="I59" i="9" s="1"/>
  <c r="I60" i="9" s="1"/>
  <c r="I61" i="9" s="1"/>
  <c r="I62" i="9" s="1"/>
  <c r="I63" i="9" s="1"/>
  <c r="I64" i="9" s="1"/>
  <c r="I65" i="9" s="1"/>
  <c r="I66" i="9" s="1"/>
  <c r="I67" i="9" s="1"/>
  <c r="I68" i="9" s="1"/>
  <c r="I69" i="9" s="1"/>
  <c r="I70" i="9" s="1"/>
  <c r="I71" i="9" s="1"/>
  <c r="I72" i="9" s="1"/>
  <c r="I73" i="9" s="1"/>
  <c r="I74" i="9" s="1"/>
  <c r="I75" i="9" s="1"/>
  <c r="I76" i="9" s="1"/>
  <c r="I77" i="9" s="1"/>
  <c r="I78" i="9" s="1"/>
  <c r="I79" i="9" s="1"/>
  <c r="I80" i="9" s="1"/>
  <c r="I81" i="9" s="1"/>
  <c r="I82" i="9" s="1"/>
  <c r="I83" i="9" s="1"/>
  <c r="I84" i="9" s="1"/>
  <c r="I85" i="9" s="1"/>
  <c r="I86" i="9" s="1"/>
  <c r="I87" i="9" s="1"/>
  <c r="I88" i="9" s="1"/>
  <c r="I89" i="9" s="1"/>
  <c r="I90" i="9" s="1"/>
  <c r="I91" i="9" s="1"/>
  <c r="I92" i="9" s="1"/>
  <c r="I93" i="9" s="1"/>
  <c r="I94" i="9" s="1"/>
  <c r="I95" i="9" s="1"/>
  <c r="I96" i="9" s="1"/>
  <c r="I97" i="9" s="1"/>
  <c r="I98" i="9" s="1"/>
  <c r="I99" i="9" s="1"/>
  <c r="I100" i="9" s="1"/>
  <c r="I101" i="9" s="1"/>
  <c r="I102" i="9" s="1"/>
  <c r="I103" i="9" s="1"/>
  <c r="I104" i="9" s="1"/>
  <c r="I105" i="9" s="1"/>
  <c r="I106" i="9" s="1"/>
  <c r="I107" i="9" s="1"/>
  <c r="I108" i="9" s="1"/>
  <c r="I109" i="9" s="1"/>
  <c r="I110" i="9" s="1"/>
  <c r="I111" i="9" s="1"/>
  <c r="I112" i="9" s="1"/>
  <c r="I113" i="9" s="1"/>
  <c r="I114" i="9" s="1"/>
  <c r="I115" i="9" s="1"/>
  <c r="I116" i="9" s="1"/>
  <c r="I117" i="9" s="1"/>
  <c r="I118" i="9" s="1"/>
  <c r="I119" i="9" s="1"/>
  <c r="I120" i="9" s="1"/>
  <c r="I121" i="9" s="1"/>
  <c r="I122" i="9" s="1"/>
  <c r="U45" i="9"/>
  <c r="H46" i="9"/>
  <c r="U44" i="9"/>
  <c r="J44" i="9"/>
  <c r="U43" i="9"/>
  <c r="J43" i="9"/>
  <c r="U42" i="9"/>
  <c r="J42" i="9"/>
  <c r="U41" i="9"/>
  <c r="J41" i="9"/>
  <c r="U40" i="9"/>
  <c r="J40" i="9"/>
  <c r="U39" i="9"/>
  <c r="J39" i="9"/>
  <c r="U38" i="9"/>
  <c r="J38" i="9"/>
  <c r="U37" i="9"/>
  <c r="J37" i="9"/>
  <c r="U36" i="9"/>
  <c r="J36" i="9"/>
  <c r="U35" i="9"/>
  <c r="J35" i="9"/>
  <c r="U34" i="9"/>
  <c r="J34" i="9"/>
  <c r="U33" i="9"/>
  <c r="J33" i="9"/>
  <c r="U32" i="9"/>
  <c r="J32" i="9"/>
  <c r="U31" i="9"/>
  <c r="J31" i="9"/>
  <c r="U30" i="9"/>
  <c r="J30" i="9"/>
  <c r="U29" i="9"/>
  <c r="J29" i="9"/>
  <c r="U28" i="9"/>
  <c r="J28" i="9"/>
  <c r="U27" i="9"/>
  <c r="J27" i="9"/>
  <c r="U26" i="9"/>
  <c r="J26" i="9"/>
  <c r="U25" i="9"/>
  <c r="J25" i="9"/>
  <c r="U24" i="9"/>
  <c r="J24" i="9"/>
  <c r="U23" i="9"/>
  <c r="J23" i="9"/>
  <c r="U22" i="9"/>
  <c r="J22" i="9"/>
  <c r="U21" i="9"/>
  <c r="J21" i="9"/>
  <c r="U20" i="9"/>
  <c r="J20" i="9"/>
  <c r="U19" i="9"/>
  <c r="J19" i="9"/>
  <c r="U18" i="9"/>
  <c r="J18" i="9"/>
  <c r="U17" i="9"/>
  <c r="J17" i="9"/>
  <c r="U16" i="9"/>
  <c r="J16" i="9"/>
  <c r="U15" i="9"/>
  <c r="J15" i="9"/>
  <c r="U14" i="9"/>
  <c r="J14" i="9"/>
  <c r="U13" i="9"/>
  <c r="J13" i="9"/>
  <c r="AF12" i="9"/>
  <c r="U12" i="9"/>
  <c r="J12" i="9"/>
  <c r="AF11" i="9"/>
  <c r="U11" i="9"/>
  <c r="J11" i="9"/>
  <c r="AF10" i="9"/>
  <c r="X6" i="41" s="1"/>
  <c r="U10" i="9"/>
  <c r="J10" i="9"/>
  <c r="AF9" i="9"/>
  <c r="U9" i="9"/>
  <c r="J9" i="9"/>
  <c r="AF8" i="9"/>
  <c r="U8" i="9"/>
  <c r="J8" i="9"/>
  <c r="AF7" i="9"/>
  <c r="U7" i="9"/>
  <c r="J7" i="9"/>
  <c r="AF6" i="9"/>
  <c r="U6" i="9"/>
  <c r="J6" i="9"/>
  <c r="AF5" i="9"/>
  <c r="U5" i="9"/>
  <c r="J5" i="9"/>
  <c r="AF4" i="9"/>
  <c r="U4" i="9"/>
  <c r="J4" i="9"/>
  <c r="AF3" i="9"/>
  <c r="U3" i="9"/>
  <c r="S3" i="9"/>
  <c r="S4" i="9" s="1"/>
  <c r="S5" i="9" s="1"/>
  <c r="S6" i="9" s="1"/>
  <c r="S7" i="9" s="1"/>
  <c r="S8" i="9" s="1"/>
  <c r="S9" i="9" s="1"/>
  <c r="J3" i="9"/>
  <c r="C26" i="1"/>
  <c r="B10" i="1"/>
  <c r="H47" i="9" l="1"/>
  <c r="H48" i="9" s="1"/>
  <c r="H49" i="9" s="1"/>
  <c r="H50" i="9" s="1"/>
  <c r="H51" i="9" s="1"/>
  <c r="H52" i="9" s="1"/>
  <c r="H53" i="9" s="1"/>
  <c r="H54" i="9" s="1"/>
  <c r="H55" i="9" s="1"/>
  <c r="H56" i="9" s="1"/>
  <c r="H57" i="9" s="1"/>
  <c r="H58" i="9" s="1"/>
  <c r="H59" i="9" s="1"/>
  <c r="H60" i="9" s="1"/>
  <c r="H61" i="9" s="1"/>
  <c r="H62" i="9" s="1"/>
  <c r="H63" i="9" s="1"/>
  <c r="H64" i="9" s="1"/>
  <c r="H65" i="9" s="1"/>
  <c r="H66" i="9" s="1"/>
  <c r="H67" i="9" s="1"/>
  <c r="H68" i="9" s="1"/>
  <c r="H69" i="9" s="1"/>
  <c r="H70" i="9" s="1"/>
  <c r="H71" i="9" s="1"/>
  <c r="H72" i="9" s="1"/>
  <c r="H73" i="9" s="1"/>
  <c r="H74" i="9" s="1"/>
  <c r="H75" i="9" s="1"/>
  <c r="H76" i="9" s="1"/>
  <c r="H77" i="9" s="1"/>
  <c r="H78" i="9" s="1"/>
  <c r="H79" i="9" s="1"/>
  <c r="H80" i="9" s="1"/>
  <c r="H81" i="9" s="1"/>
  <c r="H82" i="9" s="1"/>
  <c r="H83" i="9" s="1"/>
  <c r="H84" i="9" s="1"/>
  <c r="H85" i="9" s="1"/>
  <c r="H86" i="9" s="1"/>
  <c r="H87" i="9" s="1"/>
  <c r="H88" i="9" s="1"/>
  <c r="H89" i="9" s="1"/>
  <c r="H90" i="9" s="1"/>
  <c r="H91" i="9" s="1"/>
  <c r="H92" i="9" s="1"/>
  <c r="H93" i="9" s="1"/>
  <c r="H94" i="9" s="1"/>
  <c r="H95" i="9" s="1"/>
  <c r="H96" i="9" s="1"/>
  <c r="H97" i="9" s="1"/>
  <c r="H98" i="9" s="1"/>
  <c r="H99" i="9" s="1"/>
  <c r="H100" i="9" s="1"/>
  <c r="H101" i="9" s="1"/>
  <c r="H102" i="9" s="1"/>
  <c r="H103" i="9" s="1"/>
  <c r="H104" i="9" s="1"/>
  <c r="H105" i="9" s="1"/>
  <c r="H106" i="9" s="1"/>
  <c r="H107" i="9" s="1"/>
  <c r="H108" i="9" s="1"/>
  <c r="H109" i="9" s="1"/>
  <c r="H110" i="9" s="1"/>
  <c r="H111" i="9" s="1"/>
  <c r="H112" i="9" s="1"/>
  <c r="H113" i="9" s="1"/>
  <c r="H114" i="9" s="1"/>
  <c r="H115" i="9" s="1"/>
  <c r="H116" i="9" s="1"/>
  <c r="H117" i="9" s="1"/>
  <c r="H118" i="9" s="1"/>
  <c r="H119" i="9" s="1"/>
  <c r="H120" i="9" s="1"/>
  <c r="H121" i="9" s="1"/>
  <c r="H122" i="9" s="1"/>
  <c r="J46" i="9"/>
  <c r="AN9" i="40"/>
  <c r="AP9" i="40" s="1"/>
  <c r="X6" i="40"/>
  <c r="X6" i="24"/>
  <c r="X6" i="10"/>
  <c r="AL9" i="41"/>
  <c r="AN9" i="41" s="1"/>
  <c r="AP9" i="41" s="1"/>
  <c r="AK9" i="40"/>
  <c r="AK9" i="41"/>
  <c r="C21" i="1"/>
  <c r="C14" i="1"/>
  <c r="Z5" i="9" a="1"/>
  <c r="Z5" i="9" s="1"/>
  <c r="D9" i="10"/>
  <c r="D9" i="20"/>
  <c r="D9" i="41"/>
  <c r="D9" i="40"/>
  <c r="D9" i="24"/>
  <c r="Z3" i="9" a="1"/>
  <c r="Z3" i="9" s="1"/>
  <c r="Z10" i="9"/>
  <c r="AA5" i="9" a="1"/>
  <c r="AA5" i="9" s="1"/>
  <c r="E9" i="20"/>
  <c r="E9" i="41"/>
  <c r="E9" i="40"/>
  <c r="E9" i="24"/>
  <c r="E9" i="10"/>
  <c r="AA10" i="9"/>
  <c r="AA3" i="9" a="1"/>
  <c r="AA3" i="9" s="1"/>
  <c r="Z4" i="9" a="1"/>
  <c r="Z4" i="9" s="1"/>
  <c r="AA4" i="9" a="1"/>
  <c r="AA4" i="9" s="1"/>
  <c r="C20" i="1"/>
  <c r="M47" i="9"/>
  <c r="M48" i="9" s="1"/>
  <c r="M49" i="9" s="1"/>
  <c r="M50" i="9" s="1"/>
  <c r="M51" i="9" s="1"/>
  <c r="M52" i="9" s="1"/>
  <c r="M53" i="9" s="1"/>
  <c r="M54" i="9" s="1"/>
  <c r="M55" i="9" s="1"/>
  <c r="M56" i="9" s="1"/>
  <c r="M57" i="9" s="1"/>
  <c r="M58" i="9" s="1"/>
  <c r="M59" i="9" s="1"/>
  <c r="M60" i="9" s="1"/>
  <c r="M61" i="9" s="1"/>
  <c r="M62" i="9" s="1"/>
  <c r="M63" i="9" s="1"/>
  <c r="M64" i="9" s="1"/>
  <c r="M65" i="9" s="1"/>
  <c r="M66" i="9" s="1"/>
  <c r="M67" i="9" s="1"/>
  <c r="M68" i="9" s="1"/>
  <c r="M69" i="9" s="1"/>
  <c r="M70" i="9" s="1"/>
  <c r="M71" i="9" s="1"/>
  <c r="M72" i="9" s="1"/>
  <c r="M73" i="9" s="1"/>
  <c r="M74" i="9" s="1"/>
  <c r="M75" i="9" s="1"/>
  <c r="M76" i="9" s="1"/>
  <c r="M77" i="9" s="1"/>
  <c r="M78" i="9" s="1"/>
  <c r="M79" i="9" s="1"/>
  <c r="M80" i="9" s="1"/>
  <c r="M81" i="9" s="1"/>
  <c r="M82" i="9" s="1"/>
  <c r="M83" i="9" s="1"/>
  <c r="M84" i="9" s="1"/>
  <c r="M85" i="9" s="1"/>
  <c r="M86" i="9" s="1"/>
  <c r="M87" i="9" s="1"/>
  <c r="M88" i="9" s="1"/>
  <c r="M89" i="9" s="1"/>
  <c r="M90" i="9" s="1"/>
  <c r="M91" i="9" s="1"/>
  <c r="M92" i="9" s="1"/>
  <c r="M93" i="9" s="1"/>
  <c r="M94" i="9" s="1"/>
  <c r="M95" i="9" s="1"/>
  <c r="M96" i="9" s="1"/>
  <c r="M97" i="9" s="1"/>
  <c r="M98" i="9" s="1"/>
  <c r="M99" i="9" s="1"/>
  <c r="M100" i="9" s="1"/>
  <c r="M101" i="9" s="1"/>
  <c r="M102" i="9" s="1"/>
  <c r="M103" i="9" s="1"/>
  <c r="M104" i="9" s="1"/>
  <c r="M105" i="9" s="1"/>
  <c r="M106" i="9" s="1"/>
  <c r="M107" i="9" s="1"/>
  <c r="M108" i="9" s="1"/>
  <c r="M109" i="9" s="1"/>
  <c r="M110" i="9" s="1"/>
  <c r="M111" i="9" s="1"/>
  <c r="M112" i="9" s="1"/>
  <c r="M113" i="9" s="1"/>
  <c r="M114" i="9" s="1"/>
  <c r="M115" i="9" s="1"/>
  <c r="M116" i="9" s="1"/>
  <c r="M117" i="9" s="1"/>
  <c r="M118" i="9" s="1"/>
  <c r="M119" i="9" s="1"/>
  <c r="M120" i="9" s="1"/>
  <c r="M121" i="9" s="1"/>
  <c r="M122" i="9" s="1"/>
  <c r="C18" i="10"/>
  <c r="C6" i="1"/>
  <c r="F46" i="9"/>
  <c r="F42" i="9"/>
  <c r="F41" i="9" s="1"/>
  <c r="F40" i="9" s="1"/>
  <c r="F39" i="9" s="1"/>
  <c r="F38" i="9" s="1"/>
  <c r="F37" i="9" s="1"/>
  <c r="F36" i="9" s="1"/>
  <c r="F35" i="9" s="1"/>
  <c r="F34" i="9" s="1"/>
  <c r="F33" i="9" s="1"/>
  <c r="F32" i="9" s="1"/>
  <c r="F31" i="9" s="1"/>
  <c r="F30" i="9" s="1"/>
  <c r="F29" i="9" s="1"/>
  <c r="F28" i="9" s="1"/>
  <c r="F27" i="9" s="1"/>
  <c r="F26" i="9" s="1"/>
  <c r="F25" i="9" s="1"/>
  <c r="F24" i="9" s="1"/>
  <c r="F23" i="9" s="1"/>
  <c r="F22" i="9" s="1"/>
  <c r="F21" i="9" s="1"/>
  <c r="F20" i="9" s="1"/>
  <c r="F19" i="9" s="1"/>
  <c r="F18" i="9" s="1"/>
  <c r="F17" i="9" s="1"/>
  <c r="F16" i="9" s="1"/>
  <c r="F15" i="9" s="1"/>
  <c r="F14" i="9" s="1"/>
  <c r="F13" i="9" s="1"/>
  <c r="F12" i="9" s="1"/>
  <c r="F11" i="9" s="1"/>
  <c r="F10" i="9" s="1"/>
  <c r="F9" i="9" s="1"/>
  <c r="F8" i="9" s="1"/>
  <c r="F7" i="9" s="1"/>
  <c r="F6" i="9" s="1"/>
  <c r="F5" i="9" s="1"/>
  <c r="F4" i="9" s="1"/>
  <c r="F3" i="9" s="1"/>
  <c r="C29" i="10"/>
  <c r="C48" i="10"/>
  <c r="C58" i="10"/>
  <c r="C20" i="10"/>
  <c r="C30" i="10"/>
  <c r="C42" i="10"/>
  <c r="C86" i="10"/>
  <c r="C43" i="10"/>
  <c r="C53" i="10"/>
  <c r="C62" i="10"/>
  <c r="C17" i="10"/>
  <c r="C46" i="10"/>
  <c r="C72" i="10"/>
  <c r="C81" i="10"/>
  <c r="B7" i="1"/>
  <c r="B8" i="1"/>
  <c r="C19" i="10"/>
  <c r="C31" i="10"/>
  <c r="C44" i="10"/>
  <c r="C73" i="10"/>
  <c r="C80" i="10"/>
  <c r="C32" i="10"/>
  <c r="C45" i="10"/>
  <c r="C51" i="10"/>
  <c r="C63" i="10"/>
  <c r="C65" i="10"/>
  <c r="C101" i="10"/>
  <c r="C104" i="10"/>
  <c r="C21" i="10"/>
  <c r="C33" i="10"/>
  <c r="C74" i="10"/>
  <c r="C22" i="10"/>
  <c r="C34" i="10"/>
  <c r="C59" i="10"/>
  <c r="C68" i="10"/>
  <c r="C16" i="10"/>
  <c r="C23" i="10"/>
  <c r="C35" i="10"/>
  <c r="C54" i="10"/>
  <c r="C64" i="10"/>
  <c r="C92" i="10"/>
  <c r="C24" i="10"/>
  <c r="C36" i="10"/>
  <c r="C69" i="10"/>
  <c r="C76" i="10"/>
  <c r="C25" i="10"/>
  <c r="C37" i="10"/>
  <c r="C52" i="10"/>
  <c r="C57" i="10"/>
  <c r="C60" i="10"/>
  <c r="C66" i="10"/>
  <c r="C124" i="10"/>
  <c r="C125" i="20"/>
  <c r="C130" i="20"/>
  <c r="C135" i="20"/>
  <c r="C123" i="20"/>
  <c r="C128" i="20"/>
  <c r="C126" i="20"/>
  <c r="C131" i="20"/>
  <c r="C124" i="20"/>
  <c r="C129" i="20"/>
  <c r="C127" i="20"/>
  <c r="C132" i="20"/>
  <c r="C120" i="20"/>
  <c r="C116" i="20"/>
  <c r="C104" i="20"/>
  <c r="C122" i="20"/>
  <c r="C114" i="20"/>
  <c r="C107" i="20"/>
  <c r="C121" i="20"/>
  <c r="C119" i="20"/>
  <c r="C117" i="20"/>
  <c r="C105" i="20"/>
  <c r="C133" i="20"/>
  <c r="C110" i="20"/>
  <c r="C115" i="20"/>
  <c r="C103" i="20"/>
  <c r="C108" i="20"/>
  <c r="C134" i="20"/>
  <c r="C118" i="20"/>
  <c r="C106" i="20"/>
  <c r="C92" i="20"/>
  <c r="C95" i="20"/>
  <c r="C83" i="20"/>
  <c r="C111" i="20"/>
  <c r="C101" i="20"/>
  <c r="C93" i="20"/>
  <c r="C113" i="20"/>
  <c r="C109" i="20"/>
  <c r="C98" i="20"/>
  <c r="C86" i="20"/>
  <c r="C100" i="20"/>
  <c r="C96" i="20"/>
  <c r="C89" i="20"/>
  <c r="C112" i="20"/>
  <c r="C94" i="20"/>
  <c r="C77" i="20"/>
  <c r="C90" i="20"/>
  <c r="C84" i="20"/>
  <c r="C82" i="20"/>
  <c r="C75" i="20"/>
  <c r="C99" i="20"/>
  <c r="C87" i="20"/>
  <c r="C73" i="20"/>
  <c r="C97" i="20"/>
  <c r="C78" i="20"/>
  <c r="C91" i="20"/>
  <c r="C76" i="20"/>
  <c r="C81" i="20"/>
  <c r="C72" i="20"/>
  <c r="C68" i="20"/>
  <c r="C66" i="20"/>
  <c r="C64" i="20"/>
  <c r="C80" i="20"/>
  <c r="C74" i="20"/>
  <c r="C67" i="20"/>
  <c r="C58" i="20"/>
  <c r="C62" i="20"/>
  <c r="C71" i="20"/>
  <c r="C88" i="20"/>
  <c r="C65" i="20"/>
  <c r="C102" i="20"/>
  <c r="C63" i="20"/>
  <c r="C70" i="20"/>
  <c r="C69" i="20"/>
  <c r="C61" i="20"/>
  <c r="C60" i="20"/>
  <c r="C57" i="20"/>
  <c r="C37" i="20"/>
  <c r="C53" i="20"/>
  <c r="C49" i="20"/>
  <c r="C45" i="20"/>
  <c r="C41" i="20"/>
  <c r="C85" i="20"/>
  <c r="C59" i="20"/>
  <c r="C39" i="20"/>
  <c r="C35" i="20"/>
  <c r="C56" i="20"/>
  <c r="C47" i="20"/>
  <c r="C42" i="20"/>
  <c r="C34" i="20"/>
  <c r="C33" i="20"/>
  <c r="C29" i="20"/>
  <c r="C25" i="20"/>
  <c r="C21" i="20"/>
  <c r="C17" i="20"/>
  <c r="C46" i="20"/>
  <c r="C40" i="20"/>
  <c r="C38" i="20"/>
  <c r="C36" i="20"/>
  <c r="C52" i="20"/>
  <c r="C51" i="20"/>
  <c r="C32" i="20"/>
  <c r="C31" i="20"/>
  <c r="C24" i="20"/>
  <c r="C16" i="20"/>
  <c r="C43" i="20"/>
  <c r="C30" i="20"/>
  <c r="C79" i="20"/>
  <c r="C23" i="20"/>
  <c r="C132" i="24"/>
  <c r="C128" i="24"/>
  <c r="C124" i="24"/>
  <c r="C28" i="20"/>
  <c r="X6" i="20"/>
  <c r="C55" i="20"/>
  <c r="C50" i="20"/>
  <c r="C44" i="20"/>
  <c r="C27" i="20"/>
  <c r="C20" i="20"/>
  <c r="C134" i="24"/>
  <c r="C130" i="24"/>
  <c r="C26" i="20"/>
  <c r="C22" i="20"/>
  <c r="C122" i="24"/>
  <c r="C118" i="24"/>
  <c r="C114" i="24"/>
  <c r="C110" i="24"/>
  <c r="C18" i="20"/>
  <c r="C121" i="24"/>
  <c r="C117" i="24"/>
  <c r="C113" i="24"/>
  <c r="C133" i="24"/>
  <c r="C129" i="24"/>
  <c r="C19" i="20"/>
  <c r="C125" i="24"/>
  <c r="C126" i="24"/>
  <c r="C107" i="24"/>
  <c r="C106" i="24"/>
  <c r="C102" i="24"/>
  <c r="C98" i="24"/>
  <c r="C135" i="24"/>
  <c r="C120" i="24"/>
  <c r="C112" i="24"/>
  <c r="C111" i="24"/>
  <c r="C48" i="20"/>
  <c r="C115" i="24"/>
  <c r="C109" i="24"/>
  <c r="C104" i="24"/>
  <c r="C100" i="24"/>
  <c r="C96" i="24"/>
  <c r="C54" i="20"/>
  <c r="C127" i="24"/>
  <c r="C99" i="24"/>
  <c r="C93" i="24"/>
  <c r="C88" i="24"/>
  <c r="C84" i="24"/>
  <c r="C80" i="24"/>
  <c r="C76" i="24"/>
  <c r="C72" i="24"/>
  <c r="C68" i="24"/>
  <c r="C64" i="24"/>
  <c r="C60" i="24"/>
  <c r="C105" i="24"/>
  <c r="C95" i="24"/>
  <c r="C87" i="24"/>
  <c r="C83" i="24"/>
  <c r="C79" i="24"/>
  <c r="C75" i="24"/>
  <c r="C71" i="24"/>
  <c r="C67" i="24"/>
  <c r="C63" i="24"/>
  <c r="C59" i="24"/>
  <c r="C58" i="24"/>
  <c r="C97" i="24"/>
  <c r="C103" i="24"/>
  <c r="C94" i="24"/>
  <c r="C56" i="24"/>
  <c r="C131" i="24"/>
  <c r="C123" i="24"/>
  <c r="C86" i="24"/>
  <c r="C82" i="24"/>
  <c r="C78" i="24"/>
  <c r="C74" i="24"/>
  <c r="C70" i="24"/>
  <c r="C119" i="24"/>
  <c r="C116" i="24"/>
  <c r="C101" i="24"/>
  <c r="C91" i="24"/>
  <c r="C90" i="24"/>
  <c r="C65" i="24"/>
  <c r="C52" i="24"/>
  <c r="C40" i="24"/>
  <c r="C39" i="24"/>
  <c r="C27" i="24"/>
  <c r="C89" i="24"/>
  <c r="C81" i="24"/>
  <c r="C55" i="24"/>
  <c r="C54" i="24"/>
  <c r="C51" i="24"/>
  <c r="C38" i="24"/>
  <c r="C26" i="24"/>
  <c r="C77" i="24"/>
  <c r="C69" i="24"/>
  <c r="C50" i="24"/>
  <c r="C37" i="24"/>
  <c r="C25" i="24"/>
  <c r="C49" i="24"/>
  <c r="C36" i="24"/>
  <c r="C24" i="24"/>
  <c r="C66" i="24"/>
  <c r="C48" i="24"/>
  <c r="C35" i="24"/>
  <c r="C23" i="24"/>
  <c r="C16" i="24"/>
  <c r="C47" i="24"/>
  <c r="C34" i="24"/>
  <c r="C22" i="24"/>
  <c r="C46" i="24"/>
  <c r="C33" i="24"/>
  <c r="C21" i="24"/>
  <c r="C85" i="24"/>
  <c r="C61" i="24"/>
  <c r="C45" i="24"/>
  <c r="C32" i="24"/>
  <c r="C20" i="24"/>
  <c r="C73" i="24"/>
  <c r="C44" i="24"/>
  <c r="C31" i="24"/>
  <c r="C19" i="24"/>
  <c r="C108" i="24"/>
  <c r="C92" i="24"/>
  <c r="C42" i="24"/>
  <c r="C29" i="24"/>
  <c r="C17" i="24"/>
  <c r="C57" i="24"/>
  <c r="C53" i="24"/>
  <c r="C41" i="24"/>
  <c r="C43" i="24"/>
  <c r="C62" i="24"/>
  <c r="C28" i="24"/>
  <c r="C30" i="24"/>
  <c r="C18" i="24"/>
  <c r="C135" i="10"/>
  <c r="C131" i="10"/>
  <c r="C127" i="10"/>
  <c r="C123" i="10"/>
  <c r="C119" i="10"/>
  <c r="C115" i="10"/>
  <c r="C134" i="10"/>
  <c r="C130" i="10"/>
  <c r="C126" i="10"/>
  <c r="C122" i="10"/>
  <c r="C133" i="10"/>
  <c r="C129" i="10"/>
  <c r="C125" i="10"/>
  <c r="C121" i="10"/>
  <c r="C117" i="10"/>
  <c r="C113" i="10"/>
  <c r="C132" i="10"/>
  <c r="C118" i="10"/>
  <c r="C112" i="10"/>
  <c r="C111" i="10"/>
  <c r="C128" i="10"/>
  <c r="C116" i="10"/>
  <c r="C110" i="10"/>
  <c r="C96" i="10"/>
  <c r="C91" i="10"/>
  <c r="C108" i="10"/>
  <c r="C105" i="10"/>
  <c r="C102" i="10"/>
  <c r="C95" i="10"/>
  <c r="C50" i="10"/>
  <c r="C107" i="10"/>
  <c r="C90" i="10"/>
  <c r="C85" i="10"/>
  <c r="C49" i="10"/>
  <c r="C114" i="10"/>
  <c r="C106" i="10"/>
  <c r="C94" i="10"/>
  <c r="C89" i="10"/>
  <c r="C47" i="10"/>
  <c r="C103" i="10"/>
  <c r="C84" i="10"/>
  <c r="C99" i="10"/>
  <c r="C98" i="10"/>
  <c r="C93" i="10"/>
  <c r="C79" i="10"/>
  <c r="C75" i="10"/>
  <c r="C71" i="10"/>
  <c r="C67" i="10"/>
  <c r="C100" i="10"/>
  <c r="C88" i="10"/>
  <c r="C83" i="10"/>
  <c r="C120" i="10"/>
  <c r="C97" i="10"/>
  <c r="C56" i="10"/>
  <c r="C26" i="10"/>
  <c r="C38" i="10"/>
  <c r="C70" i="10"/>
  <c r="C77" i="10"/>
  <c r="C109" i="10"/>
  <c r="C27" i="10"/>
  <c r="C39" i="10"/>
  <c r="C40" i="10"/>
  <c r="C55" i="10"/>
  <c r="C61" i="10"/>
  <c r="C82" i="10"/>
  <c r="C87" i="10"/>
  <c r="G64" i="40"/>
  <c r="C28" i="10"/>
  <c r="C41" i="10"/>
  <c r="C78" i="10"/>
  <c r="AM9" i="41" l="1"/>
  <c r="AM9" i="40"/>
  <c r="X7" i="41"/>
  <c r="X7" i="40"/>
  <c r="Z11" i="9"/>
  <c r="Z12" i="9" s="1" a="1"/>
  <c r="Z12" i="9" s="1"/>
  <c r="AA11" i="9"/>
  <c r="AA12" i="9" s="1" a="1"/>
  <c r="AA12" i="9" s="1"/>
  <c r="X7" i="10"/>
  <c r="X7" i="24"/>
  <c r="AJ16" i="20"/>
  <c r="AL16" i="20"/>
  <c r="AI16" i="20"/>
  <c r="AK16" i="20"/>
  <c r="AR135" i="41"/>
  <c r="AR127" i="41"/>
  <c r="AR119" i="41"/>
  <c r="AR111" i="41"/>
  <c r="AR103" i="41"/>
  <c r="AR95" i="41"/>
  <c r="AR87" i="41"/>
  <c r="AR79" i="41"/>
  <c r="AR71" i="41"/>
  <c r="AR63" i="41"/>
  <c r="AR130" i="41"/>
  <c r="AR122" i="41"/>
  <c r="AR128" i="41"/>
  <c r="AR120" i="41"/>
  <c r="AR112" i="41"/>
  <c r="AR104" i="41"/>
  <c r="AR131" i="41"/>
  <c r="AR123" i="41"/>
  <c r="AR115" i="41"/>
  <c r="AR134" i="41"/>
  <c r="AR126" i="41"/>
  <c r="AR118" i="41"/>
  <c r="AR110" i="41"/>
  <c r="AR102" i="41"/>
  <c r="AR94" i="41"/>
  <c r="AR86" i="41"/>
  <c r="AR78" i="41"/>
  <c r="AR129" i="41"/>
  <c r="AR121" i="41"/>
  <c r="AR113" i="41"/>
  <c r="AR105" i="41"/>
  <c r="AR97" i="41"/>
  <c r="AR89" i="41"/>
  <c r="AR81" i="41"/>
  <c r="AR73" i="41"/>
  <c r="AR65" i="41"/>
  <c r="AR132" i="41"/>
  <c r="AR124" i="41"/>
  <c r="AR116" i="41"/>
  <c r="AR108" i="41"/>
  <c r="AR100" i="41"/>
  <c r="AR92" i="41"/>
  <c r="AR84" i="41"/>
  <c r="AR76" i="41"/>
  <c r="AR68" i="41"/>
  <c r="AR133" i="41"/>
  <c r="AR99" i="41"/>
  <c r="AR98" i="41"/>
  <c r="AR85" i="41"/>
  <c r="AR70" i="41"/>
  <c r="AR62" i="41"/>
  <c r="AR88" i="41"/>
  <c r="AR72" i="41"/>
  <c r="AR67" i="41"/>
  <c r="AR125" i="41"/>
  <c r="AR91" i="41"/>
  <c r="AR75" i="41"/>
  <c r="AR109" i="41"/>
  <c r="AR69" i="41"/>
  <c r="AR64" i="41"/>
  <c r="AR90" i="41"/>
  <c r="AR74" i="41"/>
  <c r="AR66" i="41"/>
  <c r="AR59" i="41"/>
  <c r="AR101" i="41"/>
  <c r="AR93" i="41"/>
  <c r="AR77" i="41"/>
  <c r="AR61" i="41"/>
  <c r="AR117" i="41"/>
  <c r="AR107" i="41"/>
  <c r="AR96" i="41"/>
  <c r="AR80" i="41"/>
  <c r="AR106" i="41"/>
  <c r="AR83" i="41"/>
  <c r="AR82" i="41"/>
  <c r="AR114" i="41"/>
  <c r="AR60" i="41"/>
  <c r="AJ16" i="41"/>
  <c r="AH16" i="41"/>
  <c r="AQ135" i="41"/>
  <c r="AQ127" i="41"/>
  <c r="AQ119" i="41"/>
  <c r="AQ111" i="41"/>
  <c r="AQ103" i="41"/>
  <c r="AQ95" i="41"/>
  <c r="AQ87" i="41"/>
  <c r="AQ79" i="41"/>
  <c r="AQ130" i="41"/>
  <c r="AQ122" i="41"/>
  <c r="AQ114" i="41"/>
  <c r="AQ106" i="41"/>
  <c r="AQ133" i="41"/>
  <c r="AQ125" i="41"/>
  <c r="AQ117" i="41"/>
  <c r="AQ109" i="41"/>
  <c r="AQ101" i="41"/>
  <c r="AQ128" i="41"/>
  <c r="AQ120" i="41"/>
  <c r="AQ112" i="41"/>
  <c r="AQ131" i="41"/>
  <c r="AQ123" i="41"/>
  <c r="AQ115" i="41"/>
  <c r="AQ107" i="41"/>
  <c r="AQ99" i="41"/>
  <c r="AQ91" i="41"/>
  <c r="AQ83" i="41"/>
  <c r="AQ75" i="41"/>
  <c r="AQ67" i="41"/>
  <c r="AQ59" i="41"/>
  <c r="AQ134" i="41"/>
  <c r="AQ126" i="41"/>
  <c r="AQ118" i="41"/>
  <c r="AQ110" i="41"/>
  <c r="AQ102" i="41"/>
  <c r="AQ94" i="41"/>
  <c r="AQ86" i="41"/>
  <c r="AQ78" i="41"/>
  <c r="AQ70" i="41"/>
  <c r="AQ62" i="41"/>
  <c r="AQ97" i="41"/>
  <c r="AQ89" i="41"/>
  <c r="AQ81" i="41"/>
  <c r="AQ73" i="41"/>
  <c r="AQ65" i="41"/>
  <c r="AQ129" i="41"/>
  <c r="AQ121" i="41"/>
  <c r="AQ113" i="41"/>
  <c r="AQ105" i="41"/>
  <c r="AQ132" i="41"/>
  <c r="AQ124" i="41"/>
  <c r="AQ116" i="41"/>
  <c r="AQ108" i="41"/>
  <c r="AQ100" i="41"/>
  <c r="AQ82" i="41"/>
  <c r="AQ60" i="41"/>
  <c r="AQ104" i="41"/>
  <c r="AQ98" i="41"/>
  <c r="AQ85" i="41"/>
  <c r="AQ88" i="41"/>
  <c r="AQ72" i="41"/>
  <c r="AQ84" i="41"/>
  <c r="AQ69" i="41"/>
  <c r="AQ64" i="41"/>
  <c r="AQ90" i="41"/>
  <c r="AQ74" i="41"/>
  <c r="AQ71" i="41"/>
  <c r="AQ66" i="41"/>
  <c r="AQ93" i="41"/>
  <c r="AQ77" i="41"/>
  <c r="AQ61" i="41"/>
  <c r="AQ63" i="41"/>
  <c r="AQ96" i="41"/>
  <c r="AQ80" i="41"/>
  <c r="AQ68" i="41"/>
  <c r="AQ76" i="41"/>
  <c r="AQ92" i="41"/>
  <c r="AG16" i="41"/>
  <c r="AI16" i="41"/>
  <c r="AR130" i="40"/>
  <c r="AR122" i="40"/>
  <c r="AR114" i="40"/>
  <c r="AR106" i="40"/>
  <c r="AR98" i="40"/>
  <c r="AR90" i="40"/>
  <c r="AR82" i="40"/>
  <c r="AR74" i="40"/>
  <c r="AR66" i="40"/>
  <c r="AR133" i="40"/>
  <c r="AR125" i="40"/>
  <c r="AR117" i="40"/>
  <c r="AR109" i="40"/>
  <c r="AR101" i="40"/>
  <c r="AR93" i="40"/>
  <c r="AR85" i="40"/>
  <c r="AR77" i="40"/>
  <c r="AR69" i="40"/>
  <c r="AR61" i="40"/>
  <c r="AR128" i="40"/>
  <c r="AR120" i="40"/>
  <c r="AR112" i="40"/>
  <c r="AR104" i="40"/>
  <c r="AR96" i="40"/>
  <c r="AR88" i="40"/>
  <c r="AR80" i="40"/>
  <c r="AR72" i="40"/>
  <c r="AR64" i="40"/>
  <c r="AR131" i="40"/>
  <c r="AR123" i="40"/>
  <c r="AR115" i="40"/>
  <c r="AR107" i="40"/>
  <c r="AR99" i="40"/>
  <c r="AR91" i="40"/>
  <c r="AR83" i="40"/>
  <c r="AR75" i="40"/>
  <c r="AR67" i="40"/>
  <c r="AR59" i="40"/>
  <c r="AR62" i="40"/>
  <c r="AR134" i="40"/>
  <c r="AR126" i="40"/>
  <c r="AR118" i="40"/>
  <c r="AR110" i="40"/>
  <c r="AR102" i="40"/>
  <c r="AR94" i="40"/>
  <c r="AR86" i="40"/>
  <c r="AR78" i="40"/>
  <c r="AR70" i="40"/>
  <c r="AR129" i="40"/>
  <c r="AR121" i="40"/>
  <c r="AR113" i="40"/>
  <c r="AR105" i="40"/>
  <c r="AR97" i="40"/>
  <c r="AR89" i="40"/>
  <c r="AR81" i="40"/>
  <c r="AR73" i="40"/>
  <c r="AR65" i="40"/>
  <c r="AR132" i="40"/>
  <c r="AR124" i="40"/>
  <c r="AR116" i="40"/>
  <c r="AR108" i="40"/>
  <c r="AR100" i="40"/>
  <c r="AR92" i="40"/>
  <c r="AR84" i="40"/>
  <c r="AR76" i="40"/>
  <c r="AR68" i="40"/>
  <c r="AR60" i="40"/>
  <c r="AR135" i="40"/>
  <c r="AR79" i="40"/>
  <c r="AR103" i="40"/>
  <c r="AR71" i="40"/>
  <c r="AR127" i="40"/>
  <c r="AR87" i="40"/>
  <c r="AR63" i="40"/>
  <c r="AR119" i="40"/>
  <c r="AR111" i="40"/>
  <c r="AR95" i="40"/>
  <c r="AJ16" i="40"/>
  <c r="AH16" i="40"/>
  <c r="AQ135" i="40"/>
  <c r="AQ130" i="40"/>
  <c r="AQ122" i="40"/>
  <c r="AQ114" i="40"/>
  <c r="AQ106" i="40"/>
  <c r="AQ98" i="40"/>
  <c r="AQ90" i="40"/>
  <c r="AQ82" i="40"/>
  <c r="AQ74" i="40"/>
  <c r="AQ66" i="40"/>
  <c r="AQ73" i="40"/>
  <c r="AQ133" i="40"/>
  <c r="AQ125" i="40"/>
  <c r="AQ117" i="40"/>
  <c r="AQ109" i="40"/>
  <c r="AQ101" i="40"/>
  <c r="AQ93" i="40"/>
  <c r="AQ85" i="40"/>
  <c r="AQ77" i="40"/>
  <c r="AQ69" i="40"/>
  <c r="AQ61" i="40"/>
  <c r="AQ89" i="40"/>
  <c r="AQ128" i="40"/>
  <c r="AQ120" i="40"/>
  <c r="AQ112" i="40"/>
  <c r="AQ104" i="40"/>
  <c r="AQ96" i="40"/>
  <c r="AQ88" i="40"/>
  <c r="AQ80" i="40"/>
  <c r="AQ72" i="40"/>
  <c r="AQ64" i="40"/>
  <c r="AQ81" i="40"/>
  <c r="AQ131" i="40"/>
  <c r="AQ123" i="40"/>
  <c r="AQ115" i="40"/>
  <c r="AQ107" i="40"/>
  <c r="AQ99" i="40"/>
  <c r="AQ91" i="40"/>
  <c r="AQ83" i="40"/>
  <c r="AQ75" i="40"/>
  <c r="AQ67" i="40"/>
  <c r="AQ59" i="40"/>
  <c r="AQ65" i="40"/>
  <c r="AQ134" i="40"/>
  <c r="AQ126" i="40"/>
  <c r="AQ118" i="40"/>
  <c r="AQ110" i="40"/>
  <c r="AQ102" i="40"/>
  <c r="AQ94" i="40"/>
  <c r="AQ86" i="40"/>
  <c r="AQ78" i="40"/>
  <c r="AQ70" i="40"/>
  <c r="AQ62" i="40"/>
  <c r="AQ129" i="40"/>
  <c r="AQ121" i="40"/>
  <c r="AQ113" i="40"/>
  <c r="AQ105" i="40"/>
  <c r="AQ97" i="40"/>
  <c r="AQ132" i="40"/>
  <c r="AQ124" i="40"/>
  <c r="AQ116" i="40"/>
  <c r="AQ108" i="40"/>
  <c r="AQ100" i="40"/>
  <c r="AQ92" i="40"/>
  <c r="AQ84" i="40"/>
  <c r="AQ76" i="40"/>
  <c r="AQ119" i="40"/>
  <c r="AQ68" i="40"/>
  <c r="AQ79" i="40"/>
  <c r="AQ103" i="40"/>
  <c r="AQ60" i="40"/>
  <c r="AQ127" i="40"/>
  <c r="AQ63" i="40"/>
  <c r="AQ87" i="40"/>
  <c r="AQ111" i="40"/>
  <c r="AQ71" i="40"/>
  <c r="AQ95" i="40"/>
  <c r="AI16" i="40"/>
  <c r="AG16" i="40"/>
  <c r="AR135" i="24"/>
  <c r="AR131" i="24"/>
  <c r="AR127" i="24"/>
  <c r="AR123" i="24"/>
  <c r="AR119" i="24"/>
  <c r="AR115" i="24"/>
  <c r="AR111" i="24"/>
  <c r="AR106" i="24"/>
  <c r="AR105" i="24"/>
  <c r="AR134" i="24"/>
  <c r="AR130" i="24"/>
  <c r="AR126" i="24"/>
  <c r="AR122" i="24"/>
  <c r="AR118" i="24"/>
  <c r="AR114" i="24"/>
  <c r="AR110" i="24"/>
  <c r="AR133" i="24"/>
  <c r="AR129" i="24"/>
  <c r="AR125" i="24"/>
  <c r="AR121" i="24"/>
  <c r="AR117" i="24"/>
  <c r="AR113" i="24"/>
  <c r="AR109" i="24"/>
  <c r="AR107" i="24"/>
  <c r="AR132" i="24"/>
  <c r="AR128" i="24"/>
  <c r="AR124" i="24"/>
  <c r="AR120" i="24"/>
  <c r="AR116" i="24"/>
  <c r="AR112" i="24"/>
  <c r="AR108" i="24"/>
  <c r="AQ135" i="24"/>
  <c r="AQ131" i="24"/>
  <c r="AQ127" i="24"/>
  <c r="AQ123" i="24"/>
  <c r="AQ119" i="24"/>
  <c r="AQ115" i="24"/>
  <c r="AQ111" i="24"/>
  <c r="AQ107" i="24"/>
  <c r="AQ134" i="24"/>
  <c r="AQ130" i="24"/>
  <c r="AQ126" i="24"/>
  <c r="AQ122" i="24"/>
  <c r="AQ118" i="24"/>
  <c r="AQ114" i="24"/>
  <c r="AQ110" i="24"/>
  <c r="AQ106" i="24"/>
  <c r="AQ133" i="24"/>
  <c r="AQ129" i="24"/>
  <c r="AQ125" i="24"/>
  <c r="AQ121" i="24"/>
  <c r="AQ117" i="24"/>
  <c r="AQ113" i="24"/>
  <c r="AQ109" i="24"/>
  <c r="AQ105" i="24"/>
  <c r="AQ108" i="24"/>
  <c r="AQ132" i="24"/>
  <c r="AQ128" i="24"/>
  <c r="AQ124" i="24"/>
  <c r="AQ120" i="24"/>
  <c r="AQ116" i="24"/>
  <c r="AQ112" i="24"/>
  <c r="AR104" i="24"/>
  <c r="AR100" i="24"/>
  <c r="AR96" i="24"/>
  <c r="AR92" i="24"/>
  <c r="AR88" i="24"/>
  <c r="AR84" i="24"/>
  <c r="AR80" i="24"/>
  <c r="AR76" i="24"/>
  <c r="AR72" i="24"/>
  <c r="AR103" i="24"/>
  <c r="AR99" i="24"/>
  <c r="AR95" i="24"/>
  <c r="AR91" i="24"/>
  <c r="AR87" i="24"/>
  <c r="AR83" i="24"/>
  <c r="AR79" i="24"/>
  <c r="AR75" i="24"/>
  <c r="AR71" i="24"/>
  <c r="AR67" i="24"/>
  <c r="AR63" i="24"/>
  <c r="AR68" i="24"/>
  <c r="AR74" i="24"/>
  <c r="AR70" i="24"/>
  <c r="AR62" i="24"/>
  <c r="AR64" i="24"/>
  <c r="AR102" i="24"/>
  <c r="AR98" i="24"/>
  <c r="AR94" i="24"/>
  <c r="AR90" i="24"/>
  <c r="AR86" i="24"/>
  <c r="AR82" i="24"/>
  <c r="AR78" i="24"/>
  <c r="AR66" i="24"/>
  <c r="AR69" i="24"/>
  <c r="AR73" i="24"/>
  <c r="AR61" i="24"/>
  <c r="AR101" i="24"/>
  <c r="AR97" i="24"/>
  <c r="AR93" i="24"/>
  <c r="AR89" i="24"/>
  <c r="AR85" i="24"/>
  <c r="AR81" i="24"/>
  <c r="AR77" i="24"/>
  <c r="AR65" i="24"/>
  <c r="AR60" i="24"/>
  <c r="AQ104" i="24"/>
  <c r="AQ100" i="24"/>
  <c r="AQ96" i="24"/>
  <c r="AQ92" i="24"/>
  <c r="AQ88" i="24"/>
  <c r="AQ84" i="24"/>
  <c r="AQ80" i="24"/>
  <c r="AQ76" i="24"/>
  <c r="AQ72" i="24"/>
  <c r="AQ68" i="24"/>
  <c r="AQ64" i="24"/>
  <c r="AQ60" i="24"/>
  <c r="AQ75" i="24"/>
  <c r="AQ67" i="24"/>
  <c r="AQ63" i="24"/>
  <c r="AQ103" i="24"/>
  <c r="AQ99" i="24"/>
  <c r="AQ95" i="24"/>
  <c r="AQ91" i="24"/>
  <c r="AQ87" i="24"/>
  <c r="AQ83" i="24"/>
  <c r="AQ79" i="24"/>
  <c r="AQ71" i="24"/>
  <c r="AQ66" i="24"/>
  <c r="AQ102" i="24"/>
  <c r="AQ98" i="24"/>
  <c r="AQ94" i="24"/>
  <c r="AQ90" i="24"/>
  <c r="AQ86" i="24"/>
  <c r="AQ82" i="24"/>
  <c r="AQ78" i="24"/>
  <c r="AQ74" i="24"/>
  <c r="AQ70" i="24"/>
  <c r="AQ62" i="24"/>
  <c r="AQ69" i="24"/>
  <c r="AQ61" i="24"/>
  <c r="AQ65" i="24"/>
  <c r="AQ101" i="24"/>
  <c r="AQ97" i="24"/>
  <c r="AQ93" i="24"/>
  <c r="AQ89" i="24"/>
  <c r="AQ85" i="24"/>
  <c r="AQ81" i="24"/>
  <c r="AQ77" i="24"/>
  <c r="AQ73" i="24"/>
  <c r="AQ59" i="24"/>
  <c r="AR59" i="24"/>
  <c r="AJ16" i="24"/>
  <c r="AI16" i="24"/>
  <c r="AH16" i="24"/>
  <c r="AL16" i="10"/>
  <c r="AK16" i="10"/>
  <c r="AG16" i="24"/>
  <c r="AI16" i="10"/>
  <c r="AJ16" i="10"/>
  <c r="G101" i="41"/>
  <c r="F101" i="41"/>
  <c r="G33" i="40"/>
  <c r="F42" i="40"/>
  <c r="J64" i="40"/>
  <c r="G79" i="24"/>
  <c r="F79" i="24"/>
  <c r="G31" i="20"/>
  <c r="F31" i="20"/>
  <c r="G125" i="20"/>
  <c r="F125" i="20"/>
  <c r="G48" i="20"/>
  <c r="F48" i="20"/>
  <c r="G135" i="24"/>
  <c r="J135" i="24" s="1"/>
  <c r="F135" i="24"/>
  <c r="I135" i="24" s="1"/>
  <c r="G53" i="24"/>
  <c r="F53" i="24"/>
  <c r="G59" i="24"/>
  <c r="F59" i="24"/>
  <c r="G79" i="20"/>
  <c r="F79" i="20"/>
  <c r="G42" i="24"/>
  <c r="F42" i="24"/>
  <c r="G34" i="24"/>
  <c r="F34" i="24"/>
  <c r="G38" i="24"/>
  <c r="F38" i="24"/>
  <c r="G70" i="24"/>
  <c r="F70" i="24"/>
  <c r="G75" i="24"/>
  <c r="F75" i="24"/>
  <c r="G127" i="24"/>
  <c r="F127" i="24"/>
  <c r="G126" i="24"/>
  <c r="F126" i="24"/>
  <c r="F134" i="24"/>
  <c r="G134" i="24"/>
  <c r="G24" i="20"/>
  <c r="F24" i="20"/>
  <c r="G47" i="20"/>
  <c r="F47" i="20"/>
  <c r="G63" i="20"/>
  <c r="F63" i="20"/>
  <c r="G91" i="20"/>
  <c r="F91" i="20"/>
  <c r="G86" i="20"/>
  <c r="F86" i="20"/>
  <c r="G110" i="20"/>
  <c r="F110" i="20"/>
  <c r="G131" i="20"/>
  <c r="F131" i="20"/>
  <c r="F53" i="40"/>
  <c r="F88" i="41"/>
  <c r="E116" i="24"/>
  <c r="E70" i="41"/>
  <c r="G93" i="40"/>
  <c r="E84" i="41"/>
  <c r="E131" i="41"/>
  <c r="F24" i="41"/>
  <c r="G92" i="24"/>
  <c r="F92" i="24"/>
  <c r="G133" i="20"/>
  <c r="F133" i="20"/>
  <c r="G16" i="24"/>
  <c r="F16" i="24"/>
  <c r="G65" i="20"/>
  <c r="F65" i="20"/>
  <c r="F123" i="40"/>
  <c r="E104" i="20"/>
  <c r="E73" i="40"/>
  <c r="G17" i="40"/>
  <c r="G125" i="24"/>
  <c r="F125" i="24"/>
  <c r="G78" i="24"/>
  <c r="F78" i="24"/>
  <c r="G19" i="24"/>
  <c r="F19" i="24"/>
  <c r="G55" i="24"/>
  <c r="F55" i="24"/>
  <c r="G82" i="24"/>
  <c r="F82" i="24"/>
  <c r="G87" i="24"/>
  <c r="F87" i="24"/>
  <c r="G100" i="24"/>
  <c r="F100" i="24"/>
  <c r="G129" i="24"/>
  <c r="F129" i="24"/>
  <c r="G44" i="20"/>
  <c r="F44" i="20"/>
  <c r="G51" i="20"/>
  <c r="F51" i="20"/>
  <c r="G39" i="20"/>
  <c r="F39" i="20"/>
  <c r="G88" i="20"/>
  <c r="F88" i="20"/>
  <c r="G73" i="20"/>
  <c r="F73" i="20"/>
  <c r="F113" i="20"/>
  <c r="G113" i="20"/>
  <c r="F117" i="20"/>
  <c r="G117" i="20"/>
  <c r="F123" i="20"/>
  <c r="G123" i="20"/>
  <c r="F50" i="40"/>
  <c r="F72" i="40"/>
  <c r="E62" i="24"/>
  <c r="E85" i="41"/>
  <c r="G43" i="41"/>
  <c r="F47" i="24"/>
  <c r="G47" i="24"/>
  <c r="F20" i="20"/>
  <c r="G20" i="20"/>
  <c r="G98" i="20"/>
  <c r="F98" i="20"/>
  <c r="G108" i="24"/>
  <c r="F108" i="24"/>
  <c r="G54" i="24"/>
  <c r="F54" i="24"/>
  <c r="F96" i="24"/>
  <c r="G96" i="24"/>
  <c r="F27" i="20"/>
  <c r="G27" i="20"/>
  <c r="G35" i="20"/>
  <c r="F35" i="20"/>
  <c r="G109" i="20"/>
  <c r="F109" i="20"/>
  <c r="G31" i="24"/>
  <c r="F31" i="24"/>
  <c r="G81" i="24"/>
  <c r="F81" i="24"/>
  <c r="F95" i="24"/>
  <c r="G95" i="24"/>
  <c r="G133" i="24"/>
  <c r="F133" i="24"/>
  <c r="F52" i="20"/>
  <c r="G52" i="20"/>
  <c r="F59" i="20"/>
  <c r="G59" i="20"/>
  <c r="G71" i="20"/>
  <c r="F71" i="20"/>
  <c r="G93" i="20"/>
  <c r="F93" i="20"/>
  <c r="F119" i="20"/>
  <c r="G119" i="20"/>
  <c r="G135" i="20"/>
  <c r="J135" i="20" s="1"/>
  <c r="F135" i="20"/>
  <c r="I135" i="20" s="1"/>
  <c r="G50" i="40"/>
  <c r="E103" i="24"/>
  <c r="E113" i="41"/>
  <c r="E82" i="41"/>
  <c r="F51" i="24"/>
  <c r="G51" i="24"/>
  <c r="G83" i="24"/>
  <c r="F83" i="24"/>
  <c r="G19" i="20"/>
  <c r="F19" i="20"/>
  <c r="G32" i="20"/>
  <c r="F32" i="20"/>
  <c r="G97" i="20"/>
  <c r="F97" i="20"/>
  <c r="E61" i="10"/>
  <c r="G115" i="40"/>
  <c r="G36" i="40"/>
  <c r="F86" i="41"/>
  <c r="G36" i="41"/>
  <c r="G37" i="41"/>
  <c r="G96" i="41"/>
  <c r="G128" i="41"/>
  <c r="F56" i="41"/>
  <c r="G44" i="40"/>
  <c r="G89" i="41"/>
  <c r="G21" i="40"/>
  <c r="G113" i="40"/>
  <c r="G73" i="40"/>
  <c r="G70" i="40"/>
  <c r="G90" i="40"/>
  <c r="F95" i="41"/>
  <c r="G60" i="41"/>
  <c r="G83" i="41"/>
  <c r="G66" i="40"/>
  <c r="G70" i="41"/>
  <c r="G34" i="40"/>
  <c r="G27" i="40"/>
  <c r="G51" i="41"/>
  <c r="G96" i="40"/>
  <c r="F59" i="41"/>
  <c r="E72" i="41"/>
  <c r="E77" i="41"/>
  <c r="E68" i="40"/>
  <c r="E122" i="41"/>
  <c r="E109" i="40"/>
  <c r="E99" i="41"/>
  <c r="E93" i="40"/>
  <c r="E75" i="41"/>
  <c r="E132" i="20"/>
  <c r="E87" i="41"/>
  <c r="E126" i="24"/>
  <c r="E105" i="24"/>
  <c r="E90" i="41"/>
  <c r="E83" i="41"/>
  <c r="E111" i="20"/>
  <c r="E78" i="24"/>
  <c r="E65" i="20"/>
  <c r="E73" i="20"/>
  <c r="E60" i="24"/>
  <c r="G23" i="40"/>
  <c r="F122" i="40"/>
  <c r="G71" i="40"/>
  <c r="F115" i="40"/>
  <c r="F36" i="40"/>
  <c r="G86" i="41"/>
  <c r="F36" i="41"/>
  <c r="F37" i="41"/>
  <c r="F96" i="41"/>
  <c r="F128" i="41"/>
  <c r="G56" i="41"/>
  <c r="F44" i="40"/>
  <c r="F89" i="41"/>
  <c r="F21" i="40"/>
  <c r="F113" i="40"/>
  <c r="F73" i="40"/>
  <c r="F70" i="40"/>
  <c r="F90" i="40"/>
  <c r="G95" i="41"/>
  <c r="F60" i="41"/>
  <c r="F83" i="41"/>
  <c r="F66" i="40"/>
  <c r="F70" i="41"/>
  <c r="F34" i="40"/>
  <c r="F27" i="40"/>
  <c r="F51" i="41"/>
  <c r="F96" i="40"/>
  <c r="G59" i="41"/>
  <c r="E129" i="40"/>
  <c r="E66" i="41"/>
  <c r="E69" i="41"/>
  <c r="E134" i="40"/>
  <c r="E117" i="41"/>
  <c r="E100" i="40"/>
  <c r="E96" i="41"/>
  <c r="E87" i="40"/>
  <c r="E95" i="40"/>
  <c r="E107" i="20"/>
  <c r="E80" i="40"/>
  <c r="E121" i="24"/>
  <c r="E80" i="24"/>
  <c r="E67" i="41"/>
  <c r="E112" i="20"/>
  <c r="E99" i="20"/>
  <c r="E125" i="24"/>
  <c r="E115" i="20"/>
  <c r="E106" i="24"/>
  <c r="E104" i="24"/>
  <c r="G123" i="40"/>
  <c r="G41" i="41"/>
  <c r="F92" i="41"/>
  <c r="G31" i="40"/>
  <c r="G79" i="40"/>
  <c r="G114" i="41"/>
  <c r="G134" i="41"/>
  <c r="G82" i="40"/>
  <c r="G130" i="40"/>
  <c r="G132" i="40"/>
  <c r="G103" i="41"/>
  <c r="G18" i="40"/>
  <c r="G49" i="41"/>
  <c r="G58" i="41"/>
  <c r="F85" i="41"/>
  <c r="G16" i="41"/>
  <c r="F68" i="41"/>
  <c r="G133" i="41"/>
  <c r="G123" i="41"/>
  <c r="G55" i="40"/>
  <c r="G111" i="41"/>
  <c r="G63" i="40"/>
  <c r="G108" i="41"/>
  <c r="G110" i="40"/>
  <c r="G104" i="41"/>
  <c r="F46" i="41"/>
  <c r="G25" i="40"/>
  <c r="G119" i="41"/>
  <c r="E126" i="40"/>
  <c r="E134" i="20"/>
  <c r="E60" i="41"/>
  <c r="E125" i="40"/>
  <c r="E105" i="41"/>
  <c r="E91" i="40"/>
  <c r="E93" i="41"/>
  <c r="E81" i="40"/>
  <c r="E135" i="41"/>
  <c r="E78" i="20"/>
  <c r="E133" i="41"/>
  <c r="E98" i="24"/>
  <c r="E73" i="24"/>
  <c r="E61" i="41"/>
  <c r="E111" i="24"/>
  <c r="E77" i="20"/>
  <c r="E72" i="24"/>
  <c r="E106" i="20"/>
  <c r="F31" i="40"/>
  <c r="F79" i="40"/>
  <c r="F114" i="41"/>
  <c r="F134" i="41"/>
  <c r="F82" i="40"/>
  <c r="F130" i="40"/>
  <c r="F132" i="40"/>
  <c r="F103" i="41"/>
  <c r="F18" i="40"/>
  <c r="F49" i="41"/>
  <c r="F58" i="41"/>
  <c r="G85" i="41"/>
  <c r="F16" i="41"/>
  <c r="G68" i="41"/>
  <c r="F133" i="41"/>
  <c r="F123" i="41"/>
  <c r="F55" i="40"/>
  <c r="F111" i="41"/>
  <c r="F63" i="40"/>
  <c r="F108" i="41"/>
  <c r="F110" i="40"/>
  <c r="F104" i="41"/>
  <c r="G46" i="41"/>
  <c r="F25" i="40"/>
  <c r="F119" i="41"/>
  <c r="E117" i="40"/>
  <c r="E125" i="20"/>
  <c r="E131" i="20"/>
  <c r="E116" i="40"/>
  <c r="E88" i="41"/>
  <c r="E88" i="40"/>
  <c r="E73" i="41"/>
  <c r="E78" i="40"/>
  <c r="E111" i="41"/>
  <c r="E75" i="20"/>
  <c r="E63" i="41"/>
  <c r="E91" i="24"/>
  <c r="E119" i="41"/>
  <c r="E109" i="20"/>
  <c r="E71" i="24"/>
  <c r="E85" i="20"/>
  <c r="E66" i="20"/>
  <c r="E91" i="20"/>
  <c r="E83" i="24"/>
  <c r="E119" i="24"/>
  <c r="G42" i="40"/>
  <c r="G79" i="41"/>
  <c r="G45" i="40"/>
  <c r="G58" i="40"/>
  <c r="G134" i="40"/>
  <c r="G112" i="40"/>
  <c r="F77" i="40"/>
  <c r="G125" i="41"/>
  <c r="G61" i="41"/>
  <c r="G109" i="40"/>
  <c r="F72" i="41"/>
  <c r="G42" i="41"/>
  <c r="G59" i="40"/>
  <c r="G122" i="41"/>
  <c r="F45" i="41"/>
  <c r="F94" i="41"/>
  <c r="G54" i="40"/>
  <c r="G26" i="40"/>
  <c r="G131" i="40"/>
  <c r="G26" i="41"/>
  <c r="G38" i="41"/>
  <c r="G106" i="40"/>
  <c r="F66" i="41"/>
  <c r="G130" i="41"/>
  <c r="F50" i="41"/>
  <c r="G77" i="41"/>
  <c r="G98" i="40"/>
  <c r="G125" i="40"/>
  <c r="E128" i="40"/>
  <c r="F58" i="40"/>
  <c r="F134" i="40"/>
  <c r="F112" i="40"/>
  <c r="G77" i="40"/>
  <c r="F125" i="41"/>
  <c r="F61" i="41"/>
  <c r="F109" i="40"/>
  <c r="G72" i="41"/>
  <c r="F42" i="41"/>
  <c r="F59" i="40"/>
  <c r="F122" i="41"/>
  <c r="G45" i="41"/>
  <c r="G94" i="41"/>
  <c r="F54" i="40"/>
  <c r="F26" i="40"/>
  <c r="F131" i="40"/>
  <c r="F26" i="41"/>
  <c r="F38" i="41"/>
  <c r="F106" i="40"/>
  <c r="G66" i="41"/>
  <c r="F130" i="41"/>
  <c r="G50" i="41"/>
  <c r="F77" i="41"/>
  <c r="F98" i="40"/>
  <c r="F125" i="40"/>
  <c r="E90" i="40"/>
  <c r="E110" i="20"/>
  <c r="E113" i="40"/>
  <c r="E74" i="40"/>
  <c r="E79" i="41"/>
  <c r="E67" i="40"/>
  <c r="E123" i="20"/>
  <c r="E114" i="40"/>
  <c r="E94" i="20"/>
  <c r="E67" i="20"/>
  <c r="E108" i="41"/>
  <c r="E59" i="24"/>
  <c r="AC59" i="24" s="1"/>
  <c r="AP59" i="24" s="1"/>
  <c r="E107" i="41"/>
  <c r="E98" i="20"/>
  <c r="E99" i="24"/>
  <c r="E133" i="20"/>
  <c r="E85" i="24"/>
  <c r="E74" i="20"/>
  <c r="E69" i="20"/>
  <c r="G76" i="41"/>
  <c r="F89" i="40"/>
  <c r="G107" i="41"/>
  <c r="G64" i="41"/>
  <c r="G56" i="40"/>
  <c r="G53" i="41"/>
  <c r="G99" i="41"/>
  <c r="G104" i="40"/>
  <c r="G81" i="41"/>
  <c r="G82" i="41"/>
  <c r="G111" i="40"/>
  <c r="G124" i="41"/>
  <c r="G62" i="41"/>
  <c r="G46" i="40"/>
  <c r="F120" i="40"/>
  <c r="G91" i="40"/>
  <c r="G135" i="41"/>
  <c r="J135" i="41" s="1"/>
  <c r="G88" i="40"/>
  <c r="G117" i="40"/>
  <c r="G19" i="40"/>
  <c r="G100" i="41"/>
  <c r="F80" i="41"/>
  <c r="G117" i="41"/>
  <c r="G23" i="41"/>
  <c r="G128" i="40"/>
  <c r="G69" i="40"/>
  <c r="G129" i="41"/>
  <c r="G73" i="41"/>
  <c r="G105" i="41"/>
  <c r="E135" i="40"/>
  <c r="E110" i="40"/>
  <c r="E59" i="40"/>
  <c r="E76" i="41"/>
  <c r="E61" i="40"/>
  <c r="E117" i="20"/>
  <c r="E108" i="40"/>
  <c r="E86" i="20"/>
  <c r="E117" i="24"/>
  <c r="E97" i="41"/>
  <c r="E125" i="41"/>
  <c r="E78" i="41"/>
  <c r="E95" i="20"/>
  <c r="E100" i="41"/>
  <c r="E102" i="20"/>
  <c r="E68" i="24"/>
  <c r="E113" i="24"/>
  <c r="E100" i="24"/>
  <c r="F76" i="41"/>
  <c r="G89" i="40"/>
  <c r="F107" i="41"/>
  <c r="F64" i="41"/>
  <c r="F56" i="40"/>
  <c r="F53" i="41"/>
  <c r="F99" i="41"/>
  <c r="F104" i="40"/>
  <c r="F81" i="41"/>
  <c r="F82" i="41"/>
  <c r="F111" i="40"/>
  <c r="F124" i="41"/>
  <c r="F62" i="41"/>
  <c r="F46" i="40"/>
  <c r="G120" i="40"/>
  <c r="F91" i="40"/>
  <c r="F135" i="41"/>
  <c r="I135" i="41" s="1"/>
  <c r="F88" i="40"/>
  <c r="F117" i="40"/>
  <c r="F19" i="40"/>
  <c r="F100" i="41"/>
  <c r="G80" i="41"/>
  <c r="F117" i="41"/>
  <c r="F23" i="41"/>
  <c r="F128" i="40"/>
  <c r="F69" i="40"/>
  <c r="F129" i="41"/>
  <c r="F73" i="41"/>
  <c r="F105" i="41"/>
  <c r="E72" i="40"/>
  <c r="E123" i="40"/>
  <c r="E101" i="40"/>
  <c r="E131" i="40"/>
  <c r="E62" i="41"/>
  <c r="E110" i="41"/>
  <c r="E114" i="20"/>
  <c r="E99" i="40"/>
  <c r="E64" i="20"/>
  <c r="E96" i="24"/>
  <c r="E132" i="41"/>
  <c r="E114" i="41"/>
  <c r="E92" i="20"/>
  <c r="E76" i="20"/>
  <c r="E82" i="20"/>
  <c r="E93" i="20"/>
  <c r="E130" i="24"/>
  <c r="E67" i="24"/>
  <c r="E86" i="24"/>
  <c r="G40" i="40"/>
  <c r="G78" i="41"/>
  <c r="G35" i="40"/>
  <c r="G116" i="41"/>
  <c r="F43" i="40"/>
  <c r="G60" i="40"/>
  <c r="G127" i="41"/>
  <c r="F62" i="40"/>
  <c r="G116" i="40"/>
  <c r="G110" i="41"/>
  <c r="G39" i="40"/>
  <c r="G16" i="40"/>
  <c r="G75" i="41"/>
  <c r="G49" i="40"/>
  <c r="G35" i="41"/>
  <c r="G57" i="40"/>
  <c r="G69" i="41"/>
  <c r="G124" i="40"/>
  <c r="G25" i="41"/>
  <c r="G67" i="40"/>
  <c r="G29" i="40"/>
  <c r="G132" i="41"/>
  <c r="G76" i="40"/>
  <c r="G48" i="40"/>
  <c r="F33" i="41"/>
  <c r="G20" i="40"/>
  <c r="G20" i="41"/>
  <c r="G84" i="40"/>
  <c r="G98" i="41"/>
  <c r="E112" i="41"/>
  <c r="E132" i="40"/>
  <c r="E89" i="40"/>
  <c r="E122" i="40"/>
  <c r="E127" i="20"/>
  <c r="E135" i="20"/>
  <c r="E105" i="20"/>
  <c r="E84" i="40"/>
  <c r="E120" i="24"/>
  <c r="E89" i="24"/>
  <c r="E120" i="41"/>
  <c r="E91" i="41"/>
  <c r="E89" i="20"/>
  <c r="E135" i="24"/>
  <c r="E134" i="24"/>
  <c r="E133" i="24"/>
  <c r="E84" i="24"/>
  <c r="E61" i="24"/>
  <c r="E70" i="24"/>
  <c r="F40" i="40"/>
  <c r="F78" i="41"/>
  <c r="F35" i="40"/>
  <c r="F116" i="41"/>
  <c r="G43" i="40"/>
  <c r="F60" i="40"/>
  <c r="F127" i="41"/>
  <c r="G62" i="40"/>
  <c r="F116" i="40"/>
  <c r="F110" i="41"/>
  <c r="F39" i="40"/>
  <c r="F16" i="40"/>
  <c r="F75" i="41"/>
  <c r="F49" i="40"/>
  <c r="F35" i="41"/>
  <c r="F57" i="40"/>
  <c r="F69" i="41"/>
  <c r="F124" i="40"/>
  <c r="F25" i="41"/>
  <c r="F67" i="40"/>
  <c r="F29" i="40"/>
  <c r="F132" i="41"/>
  <c r="F76" i="40"/>
  <c r="F48" i="40"/>
  <c r="G33" i="41"/>
  <c r="F20" i="40"/>
  <c r="F20" i="41"/>
  <c r="F84" i="40"/>
  <c r="F98" i="41"/>
  <c r="E98" i="40"/>
  <c r="E83" i="40"/>
  <c r="E112" i="40"/>
  <c r="E118" i="40"/>
  <c r="E120" i="20"/>
  <c r="E130" i="40"/>
  <c r="E69" i="40"/>
  <c r="E114" i="24"/>
  <c r="E64" i="24"/>
  <c r="E103" i="41"/>
  <c r="E68" i="41"/>
  <c r="E68" i="20"/>
  <c r="E115" i="24"/>
  <c r="E88" i="24"/>
  <c r="E88" i="20"/>
  <c r="E70" i="20"/>
  <c r="E130" i="20"/>
  <c r="E97" i="24"/>
  <c r="G120" i="41"/>
  <c r="G91" i="41"/>
  <c r="G28" i="40"/>
  <c r="F28" i="41"/>
  <c r="F83" i="40"/>
  <c r="G92" i="40"/>
  <c r="G133" i="40"/>
  <c r="G38" i="40"/>
  <c r="F48" i="41"/>
  <c r="G47" i="41"/>
  <c r="F65" i="41"/>
  <c r="G94" i="40"/>
  <c r="G17" i="41"/>
  <c r="G85" i="40"/>
  <c r="F30" i="41"/>
  <c r="G47" i="40"/>
  <c r="G121" i="41"/>
  <c r="G61" i="40"/>
  <c r="G52" i="41"/>
  <c r="G127" i="40"/>
  <c r="G81" i="40"/>
  <c r="G18" i="41"/>
  <c r="G108" i="40"/>
  <c r="G32" i="40"/>
  <c r="F71" i="41"/>
  <c r="G95" i="40"/>
  <c r="G103" i="40"/>
  <c r="G114" i="40"/>
  <c r="G126" i="41"/>
  <c r="E120" i="40"/>
  <c r="E92" i="40"/>
  <c r="E77" i="40"/>
  <c r="E97" i="40"/>
  <c r="E103" i="40"/>
  <c r="E108" i="20"/>
  <c r="E121" i="40"/>
  <c r="E66" i="40"/>
  <c r="E107" i="24"/>
  <c r="E127" i="41"/>
  <c r="E74" i="41"/>
  <c r="E124" i="20"/>
  <c r="E62" i="20"/>
  <c r="E108" i="24"/>
  <c r="E77" i="24"/>
  <c r="E116" i="20"/>
  <c r="E131" i="24"/>
  <c r="E96" i="20"/>
  <c r="E127" i="24"/>
  <c r="F120" i="41"/>
  <c r="F91" i="41"/>
  <c r="F28" i="40"/>
  <c r="G28" i="41"/>
  <c r="G83" i="40"/>
  <c r="F92" i="40"/>
  <c r="F133" i="40"/>
  <c r="F38" i="40"/>
  <c r="G48" i="41"/>
  <c r="F47" i="41"/>
  <c r="G65" i="41"/>
  <c r="F94" i="40"/>
  <c r="F17" i="41"/>
  <c r="F85" i="40"/>
  <c r="G30" i="41"/>
  <c r="F47" i="40"/>
  <c r="F121" i="41"/>
  <c r="F61" i="40"/>
  <c r="F52" i="41"/>
  <c r="F127" i="40"/>
  <c r="F81" i="40"/>
  <c r="F18" i="41"/>
  <c r="F108" i="40"/>
  <c r="F32" i="40"/>
  <c r="G71" i="41"/>
  <c r="F95" i="40"/>
  <c r="F103" i="40"/>
  <c r="F114" i="40"/>
  <c r="F126" i="41"/>
  <c r="E109" i="41"/>
  <c r="E129" i="41"/>
  <c r="E71" i="40"/>
  <c r="E94" i="40"/>
  <c r="E85" i="40"/>
  <c r="E124" i="40"/>
  <c r="E106" i="40"/>
  <c r="E60" i="40"/>
  <c r="E82" i="24"/>
  <c r="E59" i="41"/>
  <c r="E129" i="20"/>
  <c r="E119" i="20"/>
  <c r="E123" i="24"/>
  <c r="E101" i="24"/>
  <c r="E65" i="24"/>
  <c r="E97" i="20"/>
  <c r="E122" i="24"/>
  <c r="E121" i="20"/>
  <c r="E81" i="24"/>
  <c r="G75" i="40"/>
  <c r="F54" i="41"/>
  <c r="G74" i="40"/>
  <c r="G74" i="41"/>
  <c r="G119" i="40"/>
  <c r="F65" i="40"/>
  <c r="G57" i="41"/>
  <c r="G80" i="40"/>
  <c r="G27" i="41"/>
  <c r="G87" i="41"/>
  <c r="G101" i="40"/>
  <c r="G135" i="40"/>
  <c r="J135" i="40" s="1"/>
  <c r="G44" i="41"/>
  <c r="G68" i="40"/>
  <c r="G93" i="41"/>
  <c r="G87" i="40"/>
  <c r="G105" i="40"/>
  <c r="G97" i="41"/>
  <c r="G90" i="41"/>
  <c r="F112" i="41"/>
  <c r="G84" i="41"/>
  <c r="G21" i="41"/>
  <c r="F109" i="41"/>
  <c r="G99" i="40"/>
  <c r="G121" i="40"/>
  <c r="G118" i="40"/>
  <c r="F34" i="41"/>
  <c r="F32" i="41"/>
  <c r="G31" i="41"/>
  <c r="E130" i="41"/>
  <c r="E75" i="24"/>
  <c r="E86" i="40"/>
  <c r="E87" i="20"/>
  <c r="E101" i="20"/>
  <c r="E94" i="24"/>
  <c r="E76" i="24"/>
  <c r="E126" i="20"/>
  <c r="E84" i="20"/>
  <c r="E118" i="24"/>
  <c r="E113" i="20"/>
  <c r="E128" i="24"/>
  <c r="F75" i="40"/>
  <c r="G54" i="41"/>
  <c r="F74" i="40"/>
  <c r="F74" i="41"/>
  <c r="G53" i="40"/>
  <c r="F119" i="40"/>
  <c r="G65" i="40"/>
  <c r="F57" i="41"/>
  <c r="F80" i="40"/>
  <c r="F27" i="41"/>
  <c r="F87" i="41"/>
  <c r="F101" i="40"/>
  <c r="F135" i="40"/>
  <c r="I135" i="40" s="1"/>
  <c r="F44" i="41"/>
  <c r="F68" i="40"/>
  <c r="F93" i="41"/>
  <c r="F87" i="40"/>
  <c r="F105" i="40"/>
  <c r="F97" i="41"/>
  <c r="F90" i="41"/>
  <c r="G112" i="41"/>
  <c r="F84" i="41"/>
  <c r="F21" i="41"/>
  <c r="G109" i="41"/>
  <c r="F99" i="40"/>
  <c r="F121" i="40"/>
  <c r="F118" i="40"/>
  <c r="G34" i="41"/>
  <c r="G32" i="41"/>
  <c r="F31" i="41"/>
  <c r="E101" i="41"/>
  <c r="E118" i="41"/>
  <c r="E62" i="40"/>
  <c r="E70" i="40"/>
  <c r="E76" i="40"/>
  <c r="E134" i="41"/>
  <c r="E133" i="40"/>
  <c r="E121" i="41"/>
  <c r="E94" i="41"/>
  <c r="E81" i="41"/>
  <c r="E80" i="20"/>
  <c r="E59" i="20"/>
  <c r="AE59" i="20" s="1"/>
  <c r="E87" i="24"/>
  <c r="E69" i="24"/>
  <c r="E110" i="24"/>
  <c r="E74" i="24"/>
  <c r="E102" i="24"/>
  <c r="E100" i="20"/>
  <c r="E109" i="24"/>
  <c r="G72" i="40"/>
  <c r="G88" i="41"/>
  <c r="G102" i="40"/>
  <c r="G102" i="41"/>
  <c r="G107" i="40"/>
  <c r="G97" i="40"/>
  <c r="G113" i="41"/>
  <c r="G41" i="40"/>
  <c r="F107" i="40"/>
  <c r="F97" i="40"/>
  <c r="F113" i="41"/>
  <c r="F41" i="40"/>
  <c r="F22" i="41"/>
  <c r="F115" i="41"/>
  <c r="F29" i="41"/>
  <c r="F51" i="40"/>
  <c r="G55" i="41"/>
  <c r="F100" i="40"/>
  <c r="F63" i="41"/>
  <c r="F126" i="40"/>
  <c r="F24" i="40"/>
  <c r="G52" i="40"/>
  <c r="F118" i="41"/>
  <c r="F64" i="40"/>
  <c r="F43" i="41"/>
  <c r="F17" i="40"/>
  <c r="G24" i="41"/>
  <c r="F93" i="40"/>
  <c r="F78" i="40"/>
  <c r="F37" i="40"/>
  <c r="G22" i="40"/>
  <c r="G106" i="41"/>
  <c r="F131" i="41"/>
  <c r="E80" i="41"/>
  <c r="E89" i="41"/>
  <c r="E104" i="40"/>
  <c r="E128" i="41"/>
  <c r="E127" i="40"/>
  <c r="E102" i="41"/>
  <c r="E111" i="40"/>
  <c r="E98" i="41"/>
  <c r="E65" i="41"/>
  <c r="E104" i="41"/>
  <c r="E129" i="24"/>
  <c r="E112" i="24"/>
  <c r="E124" i="41"/>
  <c r="E123" i="41"/>
  <c r="E118" i="20"/>
  <c r="E60" i="20"/>
  <c r="E79" i="24"/>
  <c r="E128" i="20"/>
  <c r="E124" i="24"/>
  <c r="F23" i="40"/>
  <c r="G122" i="40"/>
  <c r="F71" i="40"/>
  <c r="G40" i="41"/>
  <c r="F23" i="24"/>
  <c r="G23" i="24"/>
  <c r="G35" i="24"/>
  <c r="F35" i="24"/>
  <c r="F86" i="24"/>
  <c r="G86" i="24"/>
  <c r="G104" i="24"/>
  <c r="F104" i="24"/>
  <c r="G50" i="20"/>
  <c r="F50" i="20"/>
  <c r="G87" i="20"/>
  <c r="F87" i="20"/>
  <c r="G44" i="24"/>
  <c r="F44" i="24"/>
  <c r="F48" i="24"/>
  <c r="G48" i="24"/>
  <c r="F89" i="24"/>
  <c r="G89" i="24"/>
  <c r="G123" i="24"/>
  <c r="F123" i="24"/>
  <c r="F105" i="24"/>
  <c r="G105" i="24"/>
  <c r="F109" i="24"/>
  <c r="G109" i="24"/>
  <c r="G113" i="24"/>
  <c r="F113" i="24"/>
  <c r="G55" i="20"/>
  <c r="F55" i="20"/>
  <c r="G36" i="20"/>
  <c r="F36" i="20"/>
  <c r="G85" i="20"/>
  <c r="F85" i="20"/>
  <c r="G62" i="20"/>
  <c r="F62" i="20"/>
  <c r="G99" i="20"/>
  <c r="F99" i="20"/>
  <c r="F101" i="20"/>
  <c r="G101" i="20"/>
  <c r="G121" i="20"/>
  <c r="F121" i="20"/>
  <c r="G130" i="20"/>
  <c r="F130" i="20"/>
  <c r="F33" i="40"/>
  <c r="E93" i="24"/>
  <c r="E132" i="24"/>
  <c r="E64" i="40"/>
  <c r="G118" i="41"/>
  <c r="G38" i="20"/>
  <c r="F38" i="20"/>
  <c r="E92" i="24"/>
  <c r="E66" i="24"/>
  <c r="E107" i="40"/>
  <c r="F52" i="40"/>
  <c r="F117" i="24"/>
  <c r="G117" i="24"/>
  <c r="G82" i="20"/>
  <c r="F82" i="20"/>
  <c r="F129" i="40"/>
  <c r="F30" i="40"/>
  <c r="E90" i="20"/>
  <c r="E71" i="20"/>
  <c r="E119" i="40"/>
  <c r="G24" i="40"/>
  <c r="F78" i="20"/>
  <c r="G78" i="20"/>
  <c r="G131" i="24"/>
  <c r="F131" i="24"/>
  <c r="F75" i="20"/>
  <c r="G75" i="20"/>
  <c r="G56" i="24"/>
  <c r="F56" i="24"/>
  <c r="F40" i="20"/>
  <c r="G40" i="20"/>
  <c r="G83" i="20"/>
  <c r="F83" i="20"/>
  <c r="F28" i="24"/>
  <c r="G28" i="24"/>
  <c r="F32" i="24"/>
  <c r="G32" i="24"/>
  <c r="G36" i="24"/>
  <c r="F36" i="24"/>
  <c r="G40" i="24"/>
  <c r="F40" i="24"/>
  <c r="G94" i="24"/>
  <c r="F94" i="24"/>
  <c r="F68" i="24"/>
  <c r="G68" i="24"/>
  <c r="G111" i="24"/>
  <c r="F111" i="24"/>
  <c r="G18" i="20"/>
  <c r="F18" i="20"/>
  <c r="F124" i="24"/>
  <c r="G124" i="24"/>
  <c r="G46" i="20"/>
  <c r="F46" i="20"/>
  <c r="G49" i="20"/>
  <c r="F49" i="20"/>
  <c r="G74" i="20"/>
  <c r="F74" i="20"/>
  <c r="G84" i="20"/>
  <c r="F84" i="20"/>
  <c r="G95" i="20"/>
  <c r="F95" i="20"/>
  <c r="G122" i="20"/>
  <c r="F122" i="20"/>
  <c r="G129" i="40"/>
  <c r="G30" i="40"/>
  <c r="E95" i="24"/>
  <c r="E86" i="41"/>
  <c r="E115" i="41"/>
  <c r="G126" i="40"/>
  <c r="G74" i="24"/>
  <c r="F74" i="24"/>
  <c r="G126" i="20"/>
  <c r="F126" i="20"/>
  <c r="G27" i="24"/>
  <c r="F27" i="24"/>
  <c r="F107" i="20"/>
  <c r="G107" i="20"/>
  <c r="F64" i="24"/>
  <c r="G64" i="24"/>
  <c r="F114" i="20"/>
  <c r="G114" i="20"/>
  <c r="G62" i="24"/>
  <c r="F62" i="24"/>
  <c r="F45" i="24"/>
  <c r="G45" i="24"/>
  <c r="F49" i="24"/>
  <c r="G49" i="24"/>
  <c r="F52" i="24"/>
  <c r="G52" i="24"/>
  <c r="G103" i="24"/>
  <c r="F103" i="24"/>
  <c r="G72" i="24"/>
  <c r="F72" i="24"/>
  <c r="F112" i="24"/>
  <c r="G112" i="24"/>
  <c r="G110" i="24"/>
  <c r="F110" i="24"/>
  <c r="G128" i="24"/>
  <c r="F128" i="24"/>
  <c r="G17" i="20"/>
  <c r="F17" i="20"/>
  <c r="G53" i="20"/>
  <c r="F53" i="20"/>
  <c r="G80" i="20"/>
  <c r="F80" i="20"/>
  <c r="G90" i="20"/>
  <c r="F90" i="20"/>
  <c r="G92" i="20"/>
  <c r="F92" i="20"/>
  <c r="F104" i="20"/>
  <c r="G104" i="20"/>
  <c r="F39" i="41"/>
  <c r="F86" i="40"/>
  <c r="E83" i="20"/>
  <c r="E64" i="41"/>
  <c r="E92" i="41"/>
  <c r="G63" i="41"/>
  <c r="G102" i="20"/>
  <c r="F102" i="20"/>
  <c r="G115" i="24"/>
  <c r="F115" i="24"/>
  <c r="G111" i="20"/>
  <c r="F111" i="20"/>
  <c r="F24" i="24"/>
  <c r="G24" i="24"/>
  <c r="F67" i="20"/>
  <c r="G67" i="20"/>
  <c r="F43" i="24"/>
  <c r="G43" i="24"/>
  <c r="F61" i="24"/>
  <c r="G61" i="24"/>
  <c r="F25" i="24"/>
  <c r="G25" i="24"/>
  <c r="G65" i="24"/>
  <c r="F65" i="24"/>
  <c r="G97" i="24"/>
  <c r="F97" i="24"/>
  <c r="G76" i="24"/>
  <c r="F76" i="24"/>
  <c r="G120" i="24"/>
  <c r="F120" i="24"/>
  <c r="G114" i="24"/>
  <c r="F114" i="24"/>
  <c r="F132" i="24"/>
  <c r="G132" i="24"/>
  <c r="G21" i="20"/>
  <c r="F21" i="20"/>
  <c r="G37" i="20"/>
  <c r="F37" i="20"/>
  <c r="G64" i="20"/>
  <c r="F64" i="20"/>
  <c r="G77" i="20"/>
  <c r="F77" i="20"/>
  <c r="F106" i="20"/>
  <c r="G106" i="20"/>
  <c r="F116" i="20"/>
  <c r="G116" i="20"/>
  <c r="G39" i="41"/>
  <c r="G86" i="40"/>
  <c r="F102" i="41"/>
  <c r="E79" i="20"/>
  <c r="E72" i="20"/>
  <c r="E105" i="40"/>
  <c r="G100" i="40"/>
  <c r="G66" i="24"/>
  <c r="F66" i="24"/>
  <c r="G28" i="20"/>
  <c r="F28" i="20"/>
  <c r="G85" i="24"/>
  <c r="F85" i="24"/>
  <c r="G37" i="24"/>
  <c r="F37" i="24"/>
  <c r="G58" i="24"/>
  <c r="F58" i="24"/>
  <c r="G118" i="24"/>
  <c r="F118" i="24"/>
  <c r="G23" i="20"/>
  <c r="F23" i="20"/>
  <c r="G25" i="20"/>
  <c r="F25" i="20"/>
  <c r="G57" i="20"/>
  <c r="F57" i="20"/>
  <c r="G66" i="20"/>
  <c r="F66" i="20"/>
  <c r="G94" i="20"/>
  <c r="F94" i="20"/>
  <c r="G118" i="20"/>
  <c r="F118" i="20"/>
  <c r="G120" i="20"/>
  <c r="F120" i="20"/>
  <c r="F67" i="41"/>
  <c r="F45" i="40"/>
  <c r="E90" i="24"/>
  <c r="E71" i="41"/>
  <c r="G131" i="41"/>
  <c r="F55" i="41"/>
  <c r="F30" i="24"/>
  <c r="G30" i="24"/>
  <c r="G50" i="24"/>
  <c r="F50" i="24"/>
  <c r="G60" i="20"/>
  <c r="F60" i="20"/>
  <c r="G67" i="41"/>
  <c r="G92" i="41"/>
  <c r="E61" i="20"/>
  <c r="E103" i="20"/>
  <c r="F106" i="41"/>
  <c r="G51" i="40"/>
  <c r="F18" i="24"/>
  <c r="G18" i="24"/>
  <c r="G60" i="24"/>
  <c r="F60" i="24"/>
  <c r="G58" i="20"/>
  <c r="F58" i="20"/>
  <c r="F39" i="24"/>
  <c r="G39" i="24"/>
  <c r="G45" i="20"/>
  <c r="F45" i="20"/>
  <c r="G98" i="24"/>
  <c r="F98" i="24"/>
  <c r="F29" i="20"/>
  <c r="G29" i="20"/>
  <c r="G68" i="20"/>
  <c r="F68" i="20"/>
  <c r="F134" i="20"/>
  <c r="G134" i="20"/>
  <c r="F132" i="20"/>
  <c r="G132" i="20"/>
  <c r="F57" i="24"/>
  <c r="G57" i="24"/>
  <c r="G33" i="24"/>
  <c r="F33" i="24"/>
  <c r="G69" i="24"/>
  <c r="F69" i="24"/>
  <c r="G101" i="24"/>
  <c r="F101" i="24"/>
  <c r="G63" i="24"/>
  <c r="F63" i="24"/>
  <c r="F88" i="24"/>
  <c r="G88" i="24"/>
  <c r="G102" i="24"/>
  <c r="F102" i="24"/>
  <c r="G22" i="20"/>
  <c r="F22" i="20"/>
  <c r="G30" i="20"/>
  <c r="F30" i="20"/>
  <c r="G33" i="20"/>
  <c r="F33" i="20"/>
  <c r="G61" i="20"/>
  <c r="F61" i="20"/>
  <c r="F72" i="20"/>
  <c r="G72" i="20"/>
  <c r="G89" i="20"/>
  <c r="F89" i="20"/>
  <c r="G108" i="20"/>
  <c r="F108" i="20"/>
  <c r="F127" i="20"/>
  <c r="G127" i="20"/>
  <c r="G19" i="41"/>
  <c r="F102" i="40"/>
  <c r="E63" i="24"/>
  <c r="E116" i="41"/>
  <c r="F22" i="40"/>
  <c r="G29" i="41"/>
  <c r="G54" i="20"/>
  <c r="F54" i="20"/>
  <c r="G41" i="20"/>
  <c r="F41" i="20"/>
  <c r="F20" i="24"/>
  <c r="G20" i="24"/>
  <c r="G90" i="24"/>
  <c r="F90" i="24"/>
  <c r="G91" i="24"/>
  <c r="F91" i="24"/>
  <c r="G84" i="24"/>
  <c r="F84" i="24"/>
  <c r="G112" i="20"/>
  <c r="F112" i="20"/>
  <c r="G17" i="24"/>
  <c r="F17" i="24"/>
  <c r="G46" i="24"/>
  <c r="F46" i="24"/>
  <c r="F77" i="24"/>
  <c r="G77" i="24"/>
  <c r="G116" i="24"/>
  <c r="F116" i="24"/>
  <c r="G67" i="24"/>
  <c r="F67" i="24"/>
  <c r="G93" i="24"/>
  <c r="F93" i="24"/>
  <c r="F106" i="24"/>
  <c r="G106" i="24"/>
  <c r="G26" i="20"/>
  <c r="F26" i="20"/>
  <c r="G43" i="20"/>
  <c r="F43" i="20"/>
  <c r="G34" i="20"/>
  <c r="F34" i="20"/>
  <c r="G69" i="20"/>
  <c r="F69" i="20"/>
  <c r="G81" i="20"/>
  <c r="F81" i="20"/>
  <c r="G96" i="20"/>
  <c r="F96" i="20"/>
  <c r="G103" i="20"/>
  <c r="F103" i="20"/>
  <c r="G129" i="20"/>
  <c r="F129" i="20"/>
  <c r="F19" i="41"/>
  <c r="F79" i="41"/>
  <c r="E81" i="20"/>
  <c r="E63" i="40"/>
  <c r="L63" i="40" s="1"/>
  <c r="G37" i="40"/>
  <c r="G115" i="41"/>
  <c r="G56" i="20"/>
  <c r="F56" i="20"/>
  <c r="F73" i="24"/>
  <c r="G73" i="24"/>
  <c r="G121" i="24"/>
  <c r="F121" i="24"/>
  <c r="G41" i="24"/>
  <c r="F41" i="24"/>
  <c r="F80" i="24"/>
  <c r="G80" i="24"/>
  <c r="G21" i="24"/>
  <c r="F21" i="24"/>
  <c r="G122" i="24"/>
  <c r="F122" i="24"/>
  <c r="G29" i="24"/>
  <c r="F29" i="24"/>
  <c r="F22" i="24"/>
  <c r="G22" i="24"/>
  <c r="F26" i="24"/>
  <c r="G26" i="24"/>
  <c r="G119" i="24"/>
  <c r="F119" i="24"/>
  <c r="G71" i="24"/>
  <c r="F71" i="24"/>
  <c r="G99" i="24"/>
  <c r="F99" i="24"/>
  <c r="G107" i="24"/>
  <c r="F107" i="24"/>
  <c r="G130" i="24"/>
  <c r="F130" i="24"/>
  <c r="G16" i="20"/>
  <c r="F16" i="20"/>
  <c r="G42" i="20"/>
  <c r="F42" i="20"/>
  <c r="G70" i="20"/>
  <c r="F70" i="20"/>
  <c r="G76" i="20"/>
  <c r="F76" i="20"/>
  <c r="G100" i="20"/>
  <c r="F100" i="20"/>
  <c r="G115" i="20"/>
  <c r="F115" i="20"/>
  <c r="F124" i="20"/>
  <c r="G124" i="20"/>
  <c r="F40" i="41"/>
  <c r="F41" i="41"/>
  <c r="E63" i="20"/>
  <c r="E102" i="40"/>
  <c r="G78" i="40"/>
  <c r="G22" i="41"/>
  <c r="F105" i="20"/>
  <c r="G105" i="20"/>
  <c r="F128" i="20"/>
  <c r="G128" i="20"/>
  <c r="E96" i="40"/>
  <c r="E115" i="40"/>
  <c r="E82" i="40"/>
  <c r="E79" i="40"/>
  <c r="E65" i="40"/>
  <c r="E126" i="41"/>
  <c r="E106" i="41"/>
  <c r="E95" i="41"/>
  <c r="E75" i="40"/>
  <c r="E122" i="20"/>
  <c r="J51" i="9"/>
  <c r="J52" i="9" s="1"/>
  <c r="J53" i="9" s="1"/>
  <c r="J54" i="9" s="1"/>
  <c r="J55" i="9" s="1"/>
  <c r="J56" i="9" s="1"/>
  <c r="J57" i="9" s="1"/>
  <c r="J58" i="9" s="1"/>
  <c r="J59" i="9" s="1"/>
  <c r="J60" i="9" s="1"/>
  <c r="J61" i="9" s="1"/>
  <c r="J62" i="9" s="1"/>
  <c r="J63" i="9" s="1"/>
  <c r="J64" i="9" s="1"/>
  <c r="J65" i="9" s="1"/>
  <c r="J66" i="9" s="1"/>
  <c r="J67" i="9" s="1"/>
  <c r="J68" i="9" s="1"/>
  <c r="J69" i="9" s="1"/>
  <c r="J70" i="9" s="1"/>
  <c r="J71" i="9" s="1"/>
  <c r="J72" i="9" s="1"/>
  <c r="J73" i="9" s="1"/>
  <c r="J74" i="9" s="1"/>
  <c r="J75" i="9" s="1"/>
  <c r="J76" i="9" s="1"/>
  <c r="J77" i="9" s="1"/>
  <c r="J78" i="9" s="1"/>
  <c r="J79" i="9" s="1"/>
  <c r="J80" i="9" s="1"/>
  <c r="J81" i="9" s="1"/>
  <c r="J82" i="9" s="1"/>
  <c r="J83" i="9" s="1"/>
  <c r="J84" i="9" s="1"/>
  <c r="J85" i="9" s="1"/>
  <c r="J86" i="9" s="1"/>
  <c r="J87" i="9" s="1"/>
  <c r="J88" i="9" s="1"/>
  <c r="J89" i="9" s="1"/>
  <c r="J90" i="9" s="1"/>
  <c r="J91" i="9" s="1"/>
  <c r="J92" i="9" s="1"/>
  <c r="J93" i="9" s="1"/>
  <c r="J94" i="9" s="1"/>
  <c r="J95" i="9" s="1"/>
  <c r="J96" i="9" s="1"/>
  <c r="J97" i="9" s="1"/>
  <c r="J98" i="9" s="1"/>
  <c r="J99" i="9" s="1"/>
  <c r="J100" i="9" s="1"/>
  <c r="J101" i="9" s="1"/>
  <c r="J102" i="9" s="1"/>
  <c r="J103" i="9" s="1"/>
  <c r="J104" i="9" s="1"/>
  <c r="J105" i="9" s="1"/>
  <c r="J106" i="9" s="1"/>
  <c r="J107" i="9" s="1"/>
  <c r="J108" i="9" s="1"/>
  <c r="J109" i="9" s="1"/>
  <c r="J110" i="9" s="1"/>
  <c r="J111" i="9" s="1"/>
  <c r="J112" i="9" s="1"/>
  <c r="J113" i="9" s="1"/>
  <c r="J114" i="9" s="1"/>
  <c r="J115" i="9" s="1"/>
  <c r="J116" i="9" s="1"/>
  <c r="J117" i="9" s="1"/>
  <c r="J118" i="9" s="1"/>
  <c r="J119" i="9" s="1"/>
  <c r="J120" i="9" s="1"/>
  <c r="J121" i="9" s="1"/>
  <c r="J122" i="9" s="1"/>
  <c r="AK9" i="24"/>
  <c r="AM9" i="24" s="1"/>
  <c r="AL9" i="24"/>
  <c r="AN9" i="24" s="1"/>
  <c r="AP9" i="24" s="1"/>
  <c r="E67" i="10"/>
  <c r="E46" i="9"/>
  <c r="E42" i="9"/>
  <c r="E41" i="9" s="1"/>
  <c r="E40" i="9" s="1"/>
  <c r="E39" i="9" s="1"/>
  <c r="E38" i="9" s="1"/>
  <c r="E37" i="9" s="1"/>
  <c r="E36" i="9" s="1"/>
  <c r="E35" i="9" s="1"/>
  <c r="E34" i="9" s="1"/>
  <c r="E33" i="9" s="1"/>
  <c r="E32" i="9" s="1"/>
  <c r="E31" i="9" s="1"/>
  <c r="E30" i="9" s="1"/>
  <c r="E29" i="9" s="1"/>
  <c r="E28" i="9" s="1"/>
  <c r="E27" i="9" s="1"/>
  <c r="E26" i="9" s="1"/>
  <c r="E25" i="9" s="1"/>
  <c r="E24" i="9" s="1"/>
  <c r="E23" i="9" s="1"/>
  <c r="E22" i="9" s="1"/>
  <c r="E21" i="9" s="1"/>
  <c r="E20" i="9" s="1"/>
  <c r="E19" i="9" s="1"/>
  <c r="E18" i="9" s="1"/>
  <c r="E17" i="9" s="1"/>
  <c r="E16" i="9" s="1"/>
  <c r="E15" i="9" s="1"/>
  <c r="E14" i="9" s="1"/>
  <c r="E13" i="9" s="1"/>
  <c r="E12" i="9" s="1"/>
  <c r="E11" i="9" s="1"/>
  <c r="E10" i="9" s="1"/>
  <c r="E9" i="9" s="1"/>
  <c r="E8" i="9" s="1"/>
  <c r="E7" i="9" s="1"/>
  <c r="E6" i="9" s="1"/>
  <c r="E5" i="9" s="1"/>
  <c r="E4" i="9" s="1"/>
  <c r="E3" i="9" s="1"/>
  <c r="G46" i="9"/>
  <c r="G47" i="9" s="1"/>
  <c r="G48" i="9" s="1"/>
  <c r="G49" i="9" s="1"/>
  <c r="G50" i="9" s="1"/>
  <c r="G51" i="9" s="1"/>
  <c r="G52" i="9" s="1"/>
  <c r="G53" i="9" s="1"/>
  <c r="G54" i="9" s="1"/>
  <c r="G55" i="9" s="1"/>
  <c r="G56" i="9" s="1"/>
  <c r="G57" i="9" s="1"/>
  <c r="G58" i="9" s="1"/>
  <c r="G59" i="9" s="1"/>
  <c r="G60" i="9" s="1"/>
  <c r="G61" i="9" s="1"/>
  <c r="G62" i="9" s="1"/>
  <c r="G63" i="9" s="1"/>
  <c r="G64" i="9" s="1"/>
  <c r="G65" i="9" s="1"/>
  <c r="G66" i="9" s="1"/>
  <c r="G67" i="9" s="1"/>
  <c r="G68" i="9" s="1"/>
  <c r="G69" i="9" s="1"/>
  <c r="G70" i="9" s="1"/>
  <c r="G71" i="9" s="1"/>
  <c r="G72" i="9" s="1"/>
  <c r="G73" i="9" s="1"/>
  <c r="G74" i="9" s="1"/>
  <c r="G75" i="9" s="1"/>
  <c r="G76" i="9" s="1"/>
  <c r="G77" i="9" s="1"/>
  <c r="G78" i="9" s="1"/>
  <c r="G79" i="9" s="1"/>
  <c r="G80" i="9" s="1"/>
  <c r="G81" i="9" s="1"/>
  <c r="G82" i="9" s="1"/>
  <c r="G83" i="9" s="1"/>
  <c r="G84" i="9" s="1"/>
  <c r="G85" i="9" s="1"/>
  <c r="G86" i="9" s="1"/>
  <c r="G87" i="9" s="1"/>
  <c r="G88" i="9" s="1"/>
  <c r="G89" i="9" s="1"/>
  <c r="G90" i="9" s="1"/>
  <c r="G91" i="9" s="1"/>
  <c r="G92" i="9" s="1"/>
  <c r="G93" i="9" s="1"/>
  <c r="G94" i="9" s="1"/>
  <c r="G95" i="9" s="1"/>
  <c r="G96" i="9" s="1"/>
  <c r="G97" i="9" s="1"/>
  <c r="G98" i="9" s="1"/>
  <c r="G99" i="9" s="1"/>
  <c r="G100" i="9" s="1"/>
  <c r="G101" i="9" s="1"/>
  <c r="G102" i="9" s="1"/>
  <c r="G103" i="9" s="1"/>
  <c r="G104" i="9" s="1"/>
  <c r="G105" i="9" s="1"/>
  <c r="G106" i="9" s="1"/>
  <c r="G107" i="9" s="1"/>
  <c r="G108" i="9" s="1"/>
  <c r="G109" i="9" s="1"/>
  <c r="G110" i="9" s="1"/>
  <c r="G111" i="9" s="1"/>
  <c r="G112" i="9" s="1"/>
  <c r="G113" i="9" s="1"/>
  <c r="G114" i="9" s="1"/>
  <c r="G115" i="9" s="1"/>
  <c r="G116" i="9" s="1"/>
  <c r="G117" i="9" s="1"/>
  <c r="G118" i="9" s="1"/>
  <c r="G119" i="9" s="1"/>
  <c r="G120" i="9" s="1"/>
  <c r="G121" i="9" s="1"/>
  <c r="G122" i="9" s="1"/>
  <c r="G42" i="9"/>
  <c r="G41" i="9" s="1"/>
  <c r="G40" i="9" s="1"/>
  <c r="G39" i="9" s="1"/>
  <c r="G38" i="9" s="1"/>
  <c r="G37" i="9" s="1"/>
  <c r="G36" i="9" s="1"/>
  <c r="G35" i="9" s="1"/>
  <c r="G34" i="9" s="1"/>
  <c r="G33" i="9" s="1"/>
  <c r="G32" i="9" s="1"/>
  <c r="G31" i="9" s="1"/>
  <c r="G30" i="9" s="1"/>
  <c r="G29" i="9" s="1"/>
  <c r="G28" i="9" s="1"/>
  <c r="G27" i="9" s="1"/>
  <c r="G26" i="9" s="1"/>
  <c r="G25" i="9" s="1"/>
  <c r="G24" i="9" s="1"/>
  <c r="G23" i="9" s="1"/>
  <c r="G22" i="9" s="1"/>
  <c r="G21" i="9" s="1"/>
  <c r="G20" i="9" s="1"/>
  <c r="G19" i="9" s="1"/>
  <c r="G18" i="9" s="1"/>
  <c r="G17" i="9" s="1"/>
  <c r="G16" i="9" s="1"/>
  <c r="G15" i="9" s="1"/>
  <c r="G14" i="9" s="1"/>
  <c r="G13" i="9" s="1"/>
  <c r="G12" i="9" s="1"/>
  <c r="G11" i="9" s="1"/>
  <c r="G10" i="9" s="1"/>
  <c r="G9" i="9" s="1"/>
  <c r="G8" i="9" s="1"/>
  <c r="G7" i="9" s="1"/>
  <c r="G6" i="9" s="1"/>
  <c r="G5" i="9" s="1"/>
  <c r="G4" i="9" s="1"/>
  <c r="G3" i="9" s="1"/>
  <c r="C30" i="1"/>
  <c r="C29" i="1"/>
  <c r="F47" i="9"/>
  <c r="F48" i="9" s="1"/>
  <c r="F49" i="9" s="1"/>
  <c r="F50" i="9" s="1"/>
  <c r="F51" i="9" s="1"/>
  <c r="F52" i="9" s="1"/>
  <c r="F53" i="9" s="1"/>
  <c r="F54" i="9" s="1"/>
  <c r="F55" i="9" s="1"/>
  <c r="F56" i="9" s="1"/>
  <c r="F57" i="9" s="1"/>
  <c r="F58" i="9" s="1"/>
  <c r="F59" i="9" s="1"/>
  <c r="F60" i="9" s="1"/>
  <c r="F61" i="9" s="1"/>
  <c r="F62" i="9" s="1"/>
  <c r="F63" i="9" s="1"/>
  <c r="F64" i="9" s="1"/>
  <c r="F65" i="9" s="1"/>
  <c r="F66" i="9" s="1"/>
  <c r="F67" i="9" s="1"/>
  <c r="F68" i="9" s="1"/>
  <c r="F69" i="9" s="1"/>
  <c r="F70" i="9" s="1"/>
  <c r="F71" i="9" s="1"/>
  <c r="F72" i="9" s="1"/>
  <c r="F73" i="9" s="1"/>
  <c r="F74" i="9" s="1"/>
  <c r="F75" i="9" s="1"/>
  <c r="F76" i="9" s="1"/>
  <c r="F77" i="9" s="1"/>
  <c r="F78" i="9" s="1"/>
  <c r="F79" i="9" s="1"/>
  <c r="F80" i="9" s="1"/>
  <c r="F81" i="9" s="1"/>
  <c r="F82" i="9" s="1"/>
  <c r="F83" i="9" s="1"/>
  <c r="F84" i="9" s="1"/>
  <c r="F85" i="9" s="1"/>
  <c r="F86" i="9" s="1"/>
  <c r="F87" i="9" s="1"/>
  <c r="F88" i="9" s="1"/>
  <c r="F89" i="9" s="1"/>
  <c r="F90" i="9" s="1"/>
  <c r="F91" i="9" s="1"/>
  <c r="F92" i="9" s="1"/>
  <c r="F93" i="9" s="1"/>
  <c r="F94" i="9" s="1"/>
  <c r="F95" i="9" s="1"/>
  <c r="F96" i="9" s="1"/>
  <c r="F97" i="9" s="1"/>
  <c r="F98" i="9" s="1"/>
  <c r="F99" i="9" s="1"/>
  <c r="F100" i="9" s="1"/>
  <c r="F101" i="9" s="1"/>
  <c r="F102" i="9" s="1"/>
  <c r="F103" i="9" s="1"/>
  <c r="F104" i="9" s="1"/>
  <c r="F105" i="9" s="1"/>
  <c r="F106" i="9" s="1"/>
  <c r="F107" i="9" s="1"/>
  <c r="F108" i="9" s="1"/>
  <c r="F109" i="9" s="1"/>
  <c r="F110" i="9" s="1"/>
  <c r="F111" i="9" s="1"/>
  <c r="F112" i="9" s="1"/>
  <c r="F113" i="9" s="1"/>
  <c r="F114" i="9" s="1"/>
  <c r="F115" i="9" s="1"/>
  <c r="F116" i="9" s="1"/>
  <c r="F117" i="9" s="1"/>
  <c r="F118" i="9" s="1"/>
  <c r="F119" i="9" s="1"/>
  <c r="F120" i="9" s="1"/>
  <c r="F121" i="9" s="1"/>
  <c r="F122" i="9" s="1"/>
  <c r="G42" i="10"/>
  <c r="F72" i="10"/>
  <c r="D5" i="10"/>
  <c r="F5" i="10" s="1"/>
  <c r="L5" i="10" s="1"/>
  <c r="G28" i="10"/>
  <c r="F28" i="10"/>
  <c r="G60" i="10"/>
  <c r="F60" i="10"/>
  <c r="G126" i="10"/>
  <c r="F126" i="10"/>
  <c r="G27" i="10"/>
  <c r="F27" i="10"/>
  <c r="G67" i="10"/>
  <c r="F67" i="10"/>
  <c r="G106" i="10"/>
  <c r="F106" i="10"/>
  <c r="G105" i="10"/>
  <c r="F105" i="10"/>
  <c r="G88" i="10"/>
  <c r="F88" i="10"/>
  <c r="G96" i="10"/>
  <c r="F96" i="10"/>
  <c r="G37" i="10"/>
  <c r="F37" i="10"/>
  <c r="G79" i="10"/>
  <c r="F79" i="10"/>
  <c r="G61" i="10"/>
  <c r="F61" i="10"/>
  <c r="G56" i="10"/>
  <c r="F56" i="10"/>
  <c r="G130" i="10"/>
  <c r="F130" i="10"/>
  <c r="G19" i="10"/>
  <c r="F19" i="10"/>
  <c r="G95" i="10"/>
  <c r="F95" i="10"/>
  <c r="G82" i="10"/>
  <c r="F82" i="10"/>
  <c r="G87" i="10"/>
  <c r="F87" i="10"/>
  <c r="F55" i="10"/>
  <c r="G55" i="10"/>
  <c r="G109" i="10"/>
  <c r="F109" i="10"/>
  <c r="G83" i="10"/>
  <c r="F83" i="10"/>
  <c r="G103" i="10"/>
  <c r="F103" i="10"/>
  <c r="G49" i="10"/>
  <c r="F49" i="10"/>
  <c r="F50" i="10"/>
  <c r="G50" i="10"/>
  <c r="G108" i="10"/>
  <c r="F108" i="10"/>
  <c r="G91" i="10"/>
  <c r="F91" i="10"/>
  <c r="G64" i="10"/>
  <c r="F64" i="10"/>
  <c r="G21" i="10"/>
  <c r="F21" i="10"/>
  <c r="G63" i="10"/>
  <c r="F63" i="10"/>
  <c r="G45" i="10"/>
  <c r="F45" i="10"/>
  <c r="G46" i="10"/>
  <c r="F26" i="10"/>
  <c r="G26" i="10"/>
  <c r="G97" i="10"/>
  <c r="F97" i="10"/>
  <c r="G47" i="10"/>
  <c r="F47" i="10"/>
  <c r="G114" i="10"/>
  <c r="F114" i="10"/>
  <c r="G85" i="10"/>
  <c r="F85" i="10"/>
  <c r="G113" i="10"/>
  <c r="F113" i="10"/>
  <c r="G129" i="10"/>
  <c r="F129" i="10"/>
  <c r="G123" i="10"/>
  <c r="F123" i="10"/>
  <c r="G57" i="10"/>
  <c r="F57" i="10"/>
  <c r="G24" i="10"/>
  <c r="F24" i="10"/>
  <c r="G59" i="10"/>
  <c r="F59" i="10"/>
  <c r="G18" i="10"/>
  <c r="F62" i="10"/>
  <c r="F43" i="10"/>
  <c r="F17" i="10"/>
  <c r="G17" i="10"/>
  <c r="G76" i="10"/>
  <c r="F76" i="10"/>
  <c r="G16" i="10"/>
  <c r="F16" i="10"/>
  <c r="G34" i="10"/>
  <c r="F34" i="10"/>
  <c r="G93" i="10"/>
  <c r="F93" i="10"/>
  <c r="G52" i="10"/>
  <c r="F52" i="10"/>
  <c r="G54" i="10"/>
  <c r="F54" i="10"/>
  <c r="G35" i="10"/>
  <c r="F35" i="10"/>
  <c r="F48" i="10"/>
  <c r="G31" i="10"/>
  <c r="F31" i="10"/>
  <c r="F58" i="10"/>
  <c r="G62" i="10"/>
  <c r="G41" i="10"/>
  <c r="F41" i="10"/>
  <c r="G89" i="10"/>
  <c r="F89" i="10"/>
  <c r="G90" i="10"/>
  <c r="F90" i="10"/>
  <c r="G111" i="10"/>
  <c r="F111" i="10"/>
  <c r="G117" i="10"/>
  <c r="F117" i="10"/>
  <c r="G133" i="10"/>
  <c r="F133" i="10"/>
  <c r="G127" i="10"/>
  <c r="F127" i="10"/>
  <c r="F124" i="10"/>
  <c r="G124" i="10"/>
  <c r="G74" i="10"/>
  <c r="F74" i="10"/>
  <c r="G86" i="10"/>
  <c r="G58" i="10"/>
  <c r="F29" i="10"/>
  <c r="F53" i="10"/>
  <c r="G43" i="10"/>
  <c r="G77" i="10"/>
  <c r="F77" i="10"/>
  <c r="G71" i="10"/>
  <c r="F71" i="10"/>
  <c r="G102" i="10"/>
  <c r="F102" i="10"/>
  <c r="G134" i="10"/>
  <c r="F134" i="10"/>
  <c r="G69" i="10"/>
  <c r="F69" i="10"/>
  <c r="G33" i="10"/>
  <c r="F33" i="10"/>
  <c r="G104" i="10"/>
  <c r="F104" i="10"/>
  <c r="F46" i="10"/>
  <c r="F81" i="10"/>
  <c r="F86" i="10"/>
  <c r="F38" i="10"/>
  <c r="G38" i="10"/>
  <c r="G100" i="10"/>
  <c r="F100" i="10"/>
  <c r="G98" i="10"/>
  <c r="F98" i="10"/>
  <c r="G84" i="10"/>
  <c r="F84" i="10"/>
  <c r="G25" i="10"/>
  <c r="F25" i="10"/>
  <c r="G36" i="10"/>
  <c r="F36" i="10"/>
  <c r="G72" i="10"/>
  <c r="G101" i="10"/>
  <c r="F101" i="10"/>
  <c r="G80" i="10"/>
  <c r="F80" i="10"/>
  <c r="G44" i="10"/>
  <c r="F44" i="10"/>
  <c r="G78" i="10"/>
  <c r="F78" i="10"/>
  <c r="E125" i="10"/>
  <c r="E119" i="10"/>
  <c r="E135" i="10"/>
  <c r="E130" i="10"/>
  <c r="E126" i="10"/>
  <c r="E107" i="10"/>
  <c r="E103" i="10"/>
  <c r="E99" i="10"/>
  <c r="E95" i="10"/>
  <c r="E91" i="10"/>
  <c r="E87" i="10"/>
  <c r="E83" i="10"/>
  <c r="E133" i="10"/>
  <c r="E117" i="10"/>
  <c r="E116" i="10"/>
  <c r="E110" i="10"/>
  <c r="E106" i="10"/>
  <c r="E102" i="10"/>
  <c r="E98" i="10"/>
  <c r="E94" i="10"/>
  <c r="E90" i="10"/>
  <c r="E86" i="10"/>
  <c r="E82" i="10"/>
  <c r="E131" i="10"/>
  <c r="E121" i="10"/>
  <c r="E134" i="10"/>
  <c r="E115" i="10"/>
  <c r="E109" i="10"/>
  <c r="E105" i="10"/>
  <c r="E101" i="10"/>
  <c r="E129" i="10"/>
  <c r="E122" i="10"/>
  <c r="E120" i="10"/>
  <c r="E114" i="10"/>
  <c r="E128" i="10"/>
  <c r="E108" i="10"/>
  <c r="E81" i="10"/>
  <c r="E113" i="10"/>
  <c r="E85" i="10"/>
  <c r="E80" i="10"/>
  <c r="E76" i="10"/>
  <c r="E72" i="10"/>
  <c r="E68" i="10"/>
  <c r="E64" i="10"/>
  <c r="E60" i="10"/>
  <c r="E118" i="10"/>
  <c r="E89" i="10"/>
  <c r="E79" i="10"/>
  <c r="E75" i="10"/>
  <c r="E71" i="10"/>
  <c r="E63" i="10"/>
  <c r="E59" i="10"/>
  <c r="E100" i="10"/>
  <c r="E93" i="10"/>
  <c r="E88" i="10"/>
  <c r="E132" i="10"/>
  <c r="E123" i="10"/>
  <c r="E111" i="10"/>
  <c r="E104" i="10"/>
  <c r="E97" i="10"/>
  <c r="E92" i="10"/>
  <c r="E78" i="10"/>
  <c r="E74" i="10"/>
  <c r="E70" i="10"/>
  <c r="E127" i="10"/>
  <c r="C12" i="1"/>
  <c r="D3" i="10"/>
  <c r="E77" i="10"/>
  <c r="B5" i="1"/>
  <c r="E124" i="10"/>
  <c r="E66" i="10"/>
  <c r="E69" i="10"/>
  <c r="E84" i="10"/>
  <c r="C13" i="1"/>
  <c r="B6" i="1"/>
  <c r="E112" i="10"/>
  <c r="E96" i="10"/>
  <c r="E65" i="10"/>
  <c r="E3" i="10"/>
  <c r="E73" i="10"/>
  <c r="E62" i="10"/>
  <c r="F40" i="10"/>
  <c r="G40" i="10"/>
  <c r="G70" i="10"/>
  <c r="F70" i="10"/>
  <c r="F120" i="10"/>
  <c r="G120" i="10"/>
  <c r="G99" i="10"/>
  <c r="F99" i="10"/>
  <c r="G94" i="10"/>
  <c r="F94" i="10"/>
  <c r="G107" i="10"/>
  <c r="F107" i="10"/>
  <c r="G128" i="10"/>
  <c r="F128" i="10"/>
  <c r="G121" i="10"/>
  <c r="F121" i="10"/>
  <c r="G115" i="10"/>
  <c r="F115" i="10"/>
  <c r="G131" i="10"/>
  <c r="F131" i="10"/>
  <c r="G92" i="10"/>
  <c r="F92" i="10"/>
  <c r="G53" i="10"/>
  <c r="F42" i="10"/>
  <c r="G30" i="10"/>
  <c r="F39" i="10"/>
  <c r="G39" i="10"/>
  <c r="G75" i="10"/>
  <c r="F75" i="10"/>
  <c r="G122" i="10"/>
  <c r="F122" i="10"/>
  <c r="G20" i="10"/>
  <c r="G110" i="10"/>
  <c r="F110" i="10"/>
  <c r="G118" i="10"/>
  <c r="F118" i="10"/>
  <c r="G66" i="10"/>
  <c r="F66" i="10"/>
  <c r="G22" i="10"/>
  <c r="F22" i="10"/>
  <c r="G51" i="10"/>
  <c r="F51" i="10"/>
  <c r="G32" i="10"/>
  <c r="F32" i="10"/>
  <c r="G73" i="10"/>
  <c r="F73" i="10"/>
  <c r="F18" i="10"/>
  <c r="G29" i="10"/>
  <c r="E5" i="10"/>
  <c r="F116" i="10"/>
  <c r="G116" i="10"/>
  <c r="F112" i="10"/>
  <c r="G112" i="10"/>
  <c r="G132" i="10"/>
  <c r="F132" i="10"/>
  <c r="G125" i="10"/>
  <c r="F125" i="10"/>
  <c r="G119" i="10"/>
  <c r="F119" i="10"/>
  <c r="F135" i="10"/>
  <c r="G135" i="10"/>
  <c r="G23" i="10"/>
  <c r="F23" i="10"/>
  <c r="G68" i="10"/>
  <c r="F68" i="10"/>
  <c r="F20" i="10"/>
  <c r="G65" i="10"/>
  <c r="F65" i="10"/>
  <c r="F30" i="10"/>
  <c r="G81" i="10"/>
  <c r="G48" i="10"/>
  <c r="AE3" i="24" l="1" a="1"/>
  <c r="AE3" i="24" s="1"/>
  <c r="AE3" i="40" a="1"/>
  <c r="AE3" i="41" a="1"/>
  <c r="AL3" i="41"/>
  <c r="AN3" i="41" s="1"/>
  <c r="AL7" i="41"/>
  <c r="AN7" i="41" s="1"/>
  <c r="AE3" i="10" a="1"/>
  <c r="AE3" i="10" s="1"/>
  <c r="AL6" i="41"/>
  <c r="AN6" i="41" s="1"/>
  <c r="AK7" i="41"/>
  <c r="AM7" i="41" s="1"/>
  <c r="AK4" i="41"/>
  <c r="AM4" i="41" s="1"/>
  <c r="AL4" i="41"/>
  <c r="AN4" i="41" s="1"/>
  <c r="AE3" i="20" a="1"/>
  <c r="AE3" i="20" s="1"/>
  <c r="AL8" i="41"/>
  <c r="AN8" i="41" s="1"/>
  <c r="AP8" i="41" s="1"/>
  <c r="AK3" i="41"/>
  <c r="AM3" i="41" s="1"/>
  <c r="AK8" i="41"/>
  <c r="AM8" i="41" s="1"/>
  <c r="AO8" i="41" s="1"/>
  <c r="AK7" i="40"/>
  <c r="AM7" i="40" s="1"/>
  <c r="AK6" i="41"/>
  <c r="AM6" i="41" s="1"/>
  <c r="AK5" i="41"/>
  <c r="AM5" i="41" s="1"/>
  <c r="AL5" i="41"/>
  <c r="AN5" i="41" s="1"/>
  <c r="AL7" i="40"/>
  <c r="AN7" i="40" s="1"/>
  <c r="AL6" i="40"/>
  <c r="AN6" i="40" s="1"/>
  <c r="AK8" i="40"/>
  <c r="AM8" i="40" s="1"/>
  <c r="AO8" i="40" s="1"/>
  <c r="AK4" i="40"/>
  <c r="AM4" i="40" s="1"/>
  <c r="AK6" i="40"/>
  <c r="AM6" i="40" s="1"/>
  <c r="AK3" i="40"/>
  <c r="AM3" i="40" s="1"/>
  <c r="AL3" i="40"/>
  <c r="AN3" i="40" s="1"/>
  <c r="AL5" i="40"/>
  <c r="AN5" i="40" s="1"/>
  <c r="AK5" i="40"/>
  <c r="AM5" i="40" s="1"/>
  <c r="AL8" i="40"/>
  <c r="AN8" i="40" s="1"/>
  <c r="AP8" i="40" s="1"/>
  <c r="AL4" i="40"/>
  <c r="AN4" i="40" s="1"/>
  <c r="J42" i="20"/>
  <c r="J56" i="20"/>
  <c r="J69" i="20"/>
  <c r="J41" i="20"/>
  <c r="I72" i="20"/>
  <c r="J118" i="20"/>
  <c r="J106" i="20"/>
  <c r="I111" i="20"/>
  <c r="I84" i="20"/>
  <c r="J75" i="20"/>
  <c r="I101" i="20"/>
  <c r="I123" i="20"/>
  <c r="J24" i="20"/>
  <c r="I16" i="20"/>
  <c r="I34" i="20"/>
  <c r="I54" i="20"/>
  <c r="I61" i="20"/>
  <c r="I45" i="20"/>
  <c r="I60" i="20"/>
  <c r="I94" i="20"/>
  <c r="I106" i="20"/>
  <c r="J111" i="20"/>
  <c r="J90" i="20"/>
  <c r="J84" i="20"/>
  <c r="I75" i="20"/>
  <c r="I99" i="20"/>
  <c r="J117" i="20"/>
  <c r="I79" i="20"/>
  <c r="J16" i="20"/>
  <c r="J34" i="20"/>
  <c r="J54" i="20"/>
  <c r="J61" i="20"/>
  <c r="J45" i="20"/>
  <c r="J60" i="20"/>
  <c r="J94" i="20"/>
  <c r="I77" i="20"/>
  <c r="I80" i="20"/>
  <c r="I126" i="20"/>
  <c r="I74" i="20"/>
  <c r="J99" i="20"/>
  <c r="I117" i="20"/>
  <c r="J79" i="20"/>
  <c r="I43" i="20"/>
  <c r="I33" i="20"/>
  <c r="I28" i="20"/>
  <c r="J77" i="20"/>
  <c r="J126" i="20"/>
  <c r="J74" i="20"/>
  <c r="I62" i="20"/>
  <c r="J113" i="20"/>
  <c r="I65" i="20"/>
  <c r="I131" i="20"/>
  <c r="J43" i="20"/>
  <c r="J33" i="20"/>
  <c r="J66" i="20"/>
  <c r="J28" i="20"/>
  <c r="I64" i="20"/>
  <c r="I102" i="20"/>
  <c r="I53" i="20"/>
  <c r="I49" i="20"/>
  <c r="J78" i="20"/>
  <c r="I38" i="20"/>
  <c r="J62" i="20"/>
  <c r="I113" i="20"/>
  <c r="J65" i="20"/>
  <c r="J131" i="20"/>
  <c r="I26" i="20"/>
  <c r="I112" i="20"/>
  <c r="I30" i="20"/>
  <c r="I58" i="20"/>
  <c r="I57" i="20"/>
  <c r="J64" i="20"/>
  <c r="J102" i="20"/>
  <c r="J53" i="20"/>
  <c r="J49" i="20"/>
  <c r="I78" i="20"/>
  <c r="J38" i="20"/>
  <c r="I85" i="20"/>
  <c r="J98" i="20"/>
  <c r="I73" i="20"/>
  <c r="I110" i="20"/>
  <c r="I124" i="20"/>
  <c r="J26" i="20"/>
  <c r="J112" i="20"/>
  <c r="J30" i="20"/>
  <c r="J58" i="20"/>
  <c r="J57" i="20"/>
  <c r="I37" i="20"/>
  <c r="I17" i="20"/>
  <c r="I46" i="20"/>
  <c r="J85" i="20"/>
  <c r="I97" i="20"/>
  <c r="J119" i="20"/>
  <c r="J20" i="20"/>
  <c r="J73" i="20"/>
  <c r="I115" i="20"/>
  <c r="I129" i="20"/>
  <c r="I22" i="20"/>
  <c r="J132" i="20"/>
  <c r="I25" i="20"/>
  <c r="J37" i="20"/>
  <c r="J17" i="20"/>
  <c r="J46" i="20"/>
  <c r="I36" i="20"/>
  <c r="J97" i="20"/>
  <c r="I119" i="20"/>
  <c r="I20" i="20"/>
  <c r="I88" i="20"/>
  <c r="I133" i="20"/>
  <c r="I86" i="20"/>
  <c r="J115" i="20"/>
  <c r="J129" i="20"/>
  <c r="J22" i="20"/>
  <c r="I132" i="20"/>
  <c r="J25" i="20"/>
  <c r="I21" i="20"/>
  <c r="J36" i="20"/>
  <c r="I32" i="20"/>
  <c r="I93" i="20"/>
  <c r="I109" i="20"/>
  <c r="J88" i="20"/>
  <c r="J133" i="20"/>
  <c r="J86" i="20"/>
  <c r="I100" i="20"/>
  <c r="I103" i="20"/>
  <c r="J127" i="20"/>
  <c r="J134" i="20"/>
  <c r="I23" i="20"/>
  <c r="J21" i="20"/>
  <c r="I55" i="20"/>
  <c r="I87" i="20"/>
  <c r="J32" i="20"/>
  <c r="J93" i="20"/>
  <c r="J109" i="20"/>
  <c r="I39" i="20"/>
  <c r="I91" i="20"/>
  <c r="I48" i="20"/>
  <c r="J103" i="20"/>
  <c r="I127" i="20"/>
  <c r="I134" i="20"/>
  <c r="J23" i="20"/>
  <c r="J114" i="20"/>
  <c r="I18" i="20"/>
  <c r="I83" i="20"/>
  <c r="J55" i="20"/>
  <c r="J87" i="20"/>
  <c r="I19" i="20"/>
  <c r="I71" i="20"/>
  <c r="I35" i="20"/>
  <c r="J39" i="20"/>
  <c r="J91" i="20"/>
  <c r="J48" i="20"/>
  <c r="J128" i="20"/>
  <c r="I76" i="20"/>
  <c r="I96" i="20"/>
  <c r="I108" i="20"/>
  <c r="I68" i="20"/>
  <c r="I114" i="20"/>
  <c r="J18" i="20"/>
  <c r="J83" i="20"/>
  <c r="I130" i="20"/>
  <c r="I50" i="20"/>
  <c r="J19" i="20"/>
  <c r="J71" i="20"/>
  <c r="J35" i="20"/>
  <c r="I51" i="20"/>
  <c r="I63" i="20"/>
  <c r="I125" i="20"/>
  <c r="I128" i="20"/>
  <c r="J76" i="20"/>
  <c r="J96" i="20"/>
  <c r="J108" i="20"/>
  <c r="J67" i="20"/>
  <c r="J104" i="20"/>
  <c r="I122" i="20"/>
  <c r="J40" i="20"/>
  <c r="I82" i="20"/>
  <c r="J130" i="20"/>
  <c r="J50" i="20"/>
  <c r="J59" i="20"/>
  <c r="J27" i="20"/>
  <c r="J51" i="20"/>
  <c r="J63" i="20"/>
  <c r="J125" i="20"/>
  <c r="J105" i="20"/>
  <c r="I70" i="20"/>
  <c r="I81" i="20"/>
  <c r="I89" i="20"/>
  <c r="J29" i="20"/>
  <c r="I120" i="20"/>
  <c r="I67" i="20"/>
  <c r="I104" i="20"/>
  <c r="J122" i="20"/>
  <c r="I40" i="20"/>
  <c r="J82" i="20"/>
  <c r="I121" i="20"/>
  <c r="I59" i="20"/>
  <c r="I27" i="20"/>
  <c r="I44" i="20"/>
  <c r="I47" i="20"/>
  <c r="I31" i="20"/>
  <c r="I105" i="20"/>
  <c r="J70" i="20"/>
  <c r="J81" i="20"/>
  <c r="J89" i="20"/>
  <c r="I29" i="20"/>
  <c r="J120" i="20"/>
  <c r="I92" i="20"/>
  <c r="J107" i="20"/>
  <c r="I95" i="20"/>
  <c r="J121" i="20"/>
  <c r="J52" i="20"/>
  <c r="J44" i="20"/>
  <c r="J47" i="20"/>
  <c r="J31" i="20"/>
  <c r="I42" i="20"/>
  <c r="I56" i="20"/>
  <c r="I69" i="20"/>
  <c r="I41" i="20"/>
  <c r="J72" i="20"/>
  <c r="I118" i="20"/>
  <c r="I116" i="20"/>
  <c r="J92" i="20"/>
  <c r="I107" i="20"/>
  <c r="J95" i="20"/>
  <c r="J101" i="20"/>
  <c r="I52" i="20"/>
  <c r="J123" i="20"/>
  <c r="I24" i="20"/>
  <c r="J74" i="24"/>
  <c r="I50" i="41"/>
  <c r="I127" i="24"/>
  <c r="I19" i="41"/>
  <c r="I120" i="41"/>
  <c r="J130" i="41"/>
  <c r="J32" i="24"/>
  <c r="J120" i="41"/>
  <c r="I120" i="40"/>
  <c r="J71" i="40"/>
  <c r="I31" i="24"/>
  <c r="J16" i="24"/>
  <c r="I99" i="24"/>
  <c r="I84" i="24"/>
  <c r="I45" i="24"/>
  <c r="I32" i="24"/>
  <c r="I44" i="24"/>
  <c r="J122" i="40"/>
  <c r="J52" i="40"/>
  <c r="J97" i="40"/>
  <c r="I21" i="41"/>
  <c r="J65" i="40"/>
  <c r="J87" i="40"/>
  <c r="I47" i="40"/>
  <c r="J47" i="40"/>
  <c r="I35" i="41"/>
  <c r="J35" i="41"/>
  <c r="J120" i="40"/>
  <c r="J46" i="40"/>
  <c r="I59" i="40"/>
  <c r="I66" i="41"/>
  <c r="I77" i="40"/>
  <c r="I108" i="41"/>
  <c r="I134" i="41"/>
  <c r="J41" i="41"/>
  <c r="I90" i="40"/>
  <c r="I122" i="40"/>
  <c r="J31" i="24"/>
  <c r="I55" i="24"/>
  <c r="I75" i="24"/>
  <c r="I79" i="41"/>
  <c r="I49" i="24"/>
  <c r="I80" i="40"/>
  <c r="I61" i="40"/>
  <c r="J107" i="24"/>
  <c r="J25" i="24"/>
  <c r="J105" i="40"/>
  <c r="I122" i="41"/>
  <c r="J90" i="40"/>
  <c r="J127" i="24"/>
  <c r="I102" i="40"/>
  <c r="I55" i="41"/>
  <c r="J100" i="40"/>
  <c r="I25" i="24"/>
  <c r="J99" i="24"/>
  <c r="I80" i="24"/>
  <c r="I106" i="24"/>
  <c r="J84" i="24"/>
  <c r="J19" i="41"/>
  <c r="J60" i="24"/>
  <c r="J61" i="24"/>
  <c r="I128" i="24"/>
  <c r="I62" i="24"/>
  <c r="J124" i="24"/>
  <c r="J28" i="24"/>
  <c r="J44" i="24"/>
  <c r="I23" i="40"/>
  <c r="I24" i="40"/>
  <c r="J107" i="40"/>
  <c r="I119" i="40"/>
  <c r="J93" i="41"/>
  <c r="J30" i="41"/>
  <c r="I30" i="41"/>
  <c r="I49" i="40"/>
  <c r="J49" i="40"/>
  <c r="I46" i="40"/>
  <c r="J105" i="41"/>
  <c r="J62" i="41"/>
  <c r="I125" i="40"/>
  <c r="I42" i="41"/>
  <c r="J106" i="40"/>
  <c r="I68" i="41"/>
  <c r="J123" i="40"/>
  <c r="I70" i="40"/>
  <c r="J23" i="40"/>
  <c r="J73" i="40"/>
  <c r="J47" i="24"/>
  <c r="J55" i="24"/>
  <c r="J75" i="24"/>
  <c r="J63" i="41"/>
  <c r="I91" i="40"/>
  <c r="J82" i="24"/>
  <c r="J53" i="24"/>
  <c r="J80" i="24"/>
  <c r="J106" i="24"/>
  <c r="I41" i="24"/>
  <c r="I91" i="24"/>
  <c r="J18" i="24"/>
  <c r="I61" i="24"/>
  <c r="J128" i="24"/>
  <c r="J62" i="24"/>
  <c r="I124" i="24"/>
  <c r="I28" i="24"/>
  <c r="I126" i="40"/>
  <c r="J102" i="41"/>
  <c r="J112" i="41"/>
  <c r="J53" i="40"/>
  <c r="J68" i="40"/>
  <c r="I85" i="40"/>
  <c r="J85" i="40"/>
  <c r="I98" i="41"/>
  <c r="I75" i="41"/>
  <c r="J98" i="41"/>
  <c r="J75" i="41"/>
  <c r="I105" i="41"/>
  <c r="I62" i="41"/>
  <c r="J73" i="41"/>
  <c r="J124" i="41"/>
  <c r="I98" i="40"/>
  <c r="J72" i="41"/>
  <c r="J38" i="41"/>
  <c r="I111" i="41"/>
  <c r="J16" i="41"/>
  <c r="I73" i="40"/>
  <c r="J113" i="40"/>
  <c r="I47" i="24"/>
  <c r="I19" i="24"/>
  <c r="I92" i="24"/>
  <c r="I70" i="24"/>
  <c r="I64" i="40"/>
  <c r="I69" i="41"/>
  <c r="J55" i="40"/>
  <c r="I57" i="24"/>
  <c r="I118" i="41"/>
  <c r="J57" i="40"/>
  <c r="J95" i="41"/>
  <c r="I60" i="24"/>
  <c r="I71" i="24"/>
  <c r="I93" i="24"/>
  <c r="I102" i="24"/>
  <c r="J71" i="24"/>
  <c r="J41" i="24"/>
  <c r="J93" i="24"/>
  <c r="J91" i="24"/>
  <c r="J102" i="24"/>
  <c r="I18" i="24"/>
  <c r="J132" i="24"/>
  <c r="J43" i="24"/>
  <c r="I86" i="40"/>
  <c r="I110" i="24"/>
  <c r="J30" i="40"/>
  <c r="I30" i="40"/>
  <c r="I33" i="40"/>
  <c r="I63" i="41"/>
  <c r="I90" i="41"/>
  <c r="I74" i="41"/>
  <c r="J31" i="41"/>
  <c r="J44" i="41"/>
  <c r="I126" i="41"/>
  <c r="I17" i="41"/>
  <c r="J126" i="41"/>
  <c r="J17" i="41"/>
  <c r="I84" i="40"/>
  <c r="I16" i="40"/>
  <c r="J84" i="40"/>
  <c r="J16" i="40"/>
  <c r="I73" i="41"/>
  <c r="I124" i="41"/>
  <c r="J129" i="41"/>
  <c r="J111" i="40"/>
  <c r="I109" i="40"/>
  <c r="J26" i="41"/>
  <c r="J58" i="40"/>
  <c r="I55" i="40"/>
  <c r="I31" i="40"/>
  <c r="I85" i="41"/>
  <c r="I113" i="40"/>
  <c r="J21" i="40"/>
  <c r="J43" i="41"/>
  <c r="J19" i="24"/>
  <c r="J92" i="24"/>
  <c r="J70" i="24"/>
  <c r="I21" i="24"/>
  <c r="I54" i="41"/>
  <c r="J91" i="40"/>
  <c r="I82" i="24"/>
  <c r="J126" i="40"/>
  <c r="I121" i="41"/>
  <c r="J125" i="41"/>
  <c r="J51" i="40"/>
  <c r="J88" i="41"/>
  <c r="I61" i="41"/>
  <c r="I21" i="40"/>
  <c r="J89" i="41"/>
  <c r="I24" i="41"/>
  <c r="I38" i="24"/>
  <c r="J65" i="24"/>
  <c r="J91" i="41"/>
  <c r="I76" i="41"/>
  <c r="I104" i="41"/>
  <c r="J81" i="24"/>
  <c r="J45" i="24"/>
  <c r="I119" i="24"/>
  <c r="I90" i="24"/>
  <c r="I100" i="40"/>
  <c r="I20" i="41"/>
  <c r="I129" i="41"/>
  <c r="I111" i="40"/>
  <c r="J45" i="40"/>
  <c r="I123" i="41"/>
  <c r="J58" i="41"/>
  <c r="I67" i="41"/>
  <c r="I114" i="24"/>
  <c r="J112" i="24"/>
  <c r="J64" i="24"/>
  <c r="J113" i="24"/>
  <c r="J72" i="40"/>
  <c r="J54" i="41"/>
  <c r="I103" i="40"/>
  <c r="J65" i="41"/>
  <c r="J103" i="40"/>
  <c r="I20" i="40"/>
  <c r="I110" i="41"/>
  <c r="J20" i="40"/>
  <c r="J110" i="41"/>
  <c r="I69" i="40"/>
  <c r="I82" i="41"/>
  <c r="J81" i="41"/>
  <c r="I130" i="41"/>
  <c r="I125" i="41"/>
  <c r="J26" i="40"/>
  <c r="J79" i="41"/>
  <c r="I133" i="41"/>
  <c r="J49" i="41"/>
  <c r="I89" i="41"/>
  <c r="I59" i="41"/>
  <c r="O59" i="41" s="1"/>
  <c r="J44" i="40"/>
  <c r="I83" i="24"/>
  <c r="J78" i="24"/>
  <c r="J38" i="24"/>
  <c r="J40" i="41"/>
  <c r="I71" i="40"/>
  <c r="I45" i="40"/>
  <c r="I118" i="24"/>
  <c r="I43" i="24"/>
  <c r="I114" i="40"/>
  <c r="I94" i="40"/>
  <c r="J94" i="40"/>
  <c r="J20" i="41"/>
  <c r="J69" i="40"/>
  <c r="J82" i="41"/>
  <c r="J50" i="41"/>
  <c r="I78" i="24"/>
  <c r="J119" i="24"/>
  <c r="J121" i="24"/>
  <c r="J67" i="24"/>
  <c r="J90" i="24"/>
  <c r="I88" i="24"/>
  <c r="I106" i="41"/>
  <c r="I111" i="24"/>
  <c r="J55" i="41"/>
  <c r="I105" i="40"/>
  <c r="I34" i="41"/>
  <c r="J101" i="40"/>
  <c r="I65" i="41"/>
  <c r="J26" i="24"/>
  <c r="J73" i="24"/>
  <c r="J20" i="24"/>
  <c r="I63" i="24"/>
  <c r="I58" i="24"/>
  <c r="J39" i="41"/>
  <c r="J114" i="24"/>
  <c r="I112" i="24"/>
  <c r="I64" i="24"/>
  <c r="J111" i="24"/>
  <c r="J109" i="24"/>
  <c r="I104" i="24"/>
  <c r="J106" i="41"/>
  <c r="I51" i="40"/>
  <c r="I87" i="40"/>
  <c r="I75" i="40"/>
  <c r="I47" i="41"/>
  <c r="J95" i="40"/>
  <c r="J47" i="41"/>
  <c r="J33" i="41"/>
  <c r="I116" i="40"/>
  <c r="I33" i="41"/>
  <c r="J116" i="40"/>
  <c r="I128" i="40"/>
  <c r="I81" i="41"/>
  <c r="J23" i="41"/>
  <c r="J104" i="40"/>
  <c r="J66" i="41"/>
  <c r="J77" i="40"/>
  <c r="J54" i="40"/>
  <c r="J42" i="40"/>
  <c r="J68" i="41"/>
  <c r="J18" i="40"/>
  <c r="J59" i="41"/>
  <c r="P59" i="41" s="1"/>
  <c r="I44" i="40"/>
  <c r="I56" i="41"/>
  <c r="J83" i="24"/>
  <c r="I72" i="40"/>
  <c r="I125" i="24"/>
  <c r="I34" i="24"/>
  <c r="J61" i="40"/>
  <c r="J45" i="41"/>
  <c r="I130" i="40"/>
  <c r="I95" i="41"/>
  <c r="I110" i="40"/>
  <c r="I132" i="24"/>
  <c r="I129" i="40"/>
  <c r="I97" i="41"/>
  <c r="J131" i="40"/>
  <c r="I26" i="24"/>
  <c r="I73" i="24"/>
  <c r="I20" i="24"/>
  <c r="J63" i="24"/>
  <c r="J58" i="24"/>
  <c r="I120" i="24"/>
  <c r="J24" i="24"/>
  <c r="I72" i="24"/>
  <c r="J68" i="24"/>
  <c r="I56" i="24"/>
  <c r="J117" i="24"/>
  <c r="I109" i="24"/>
  <c r="J104" i="24"/>
  <c r="J22" i="40"/>
  <c r="I29" i="41"/>
  <c r="I93" i="41"/>
  <c r="J121" i="40"/>
  <c r="J27" i="41"/>
  <c r="J71" i="41"/>
  <c r="J48" i="41"/>
  <c r="I48" i="41"/>
  <c r="I48" i="40"/>
  <c r="J62" i="40"/>
  <c r="J48" i="40"/>
  <c r="I62" i="40"/>
  <c r="I23" i="41"/>
  <c r="I104" i="40"/>
  <c r="J117" i="41"/>
  <c r="I106" i="40"/>
  <c r="I112" i="40"/>
  <c r="I94" i="41"/>
  <c r="I16" i="41"/>
  <c r="J25" i="40"/>
  <c r="J103" i="41"/>
  <c r="I96" i="40"/>
  <c r="J56" i="41"/>
  <c r="J51" i="41"/>
  <c r="J128" i="41"/>
  <c r="J51" i="24"/>
  <c r="J96" i="24"/>
  <c r="I50" i="40"/>
  <c r="J125" i="24"/>
  <c r="J93" i="40"/>
  <c r="J34" i="24"/>
  <c r="I40" i="40"/>
  <c r="J21" i="24"/>
  <c r="I57" i="41"/>
  <c r="I67" i="24"/>
  <c r="I102" i="41"/>
  <c r="J110" i="24"/>
  <c r="J129" i="40"/>
  <c r="I74" i="40"/>
  <c r="J22" i="41"/>
  <c r="I80" i="41"/>
  <c r="I134" i="40"/>
  <c r="I45" i="41"/>
  <c r="I46" i="41"/>
  <c r="J132" i="40"/>
  <c r="I51" i="41"/>
  <c r="J27" i="40"/>
  <c r="J96" i="41"/>
  <c r="I51" i="24"/>
  <c r="I96" i="24"/>
  <c r="I129" i="24"/>
  <c r="J17" i="40"/>
  <c r="I42" i="24"/>
  <c r="I79" i="24"/>
  <c r="I107" i="24"/>
  <c r="J48" i="24"/>
  <c r="J97" i="41"/>
  <c r="J69" i="41"/>
  <c r="J31" i="40"/>
  <c r="J101" i="41"/>
  <c r="I30" i="24"/>
  <c r="J109" i="41"/>
  <c r="J75" i="40"/>
  <c r="I92" i="41"/>
  <c r="I121" i="24"/>
  <c r="I113" i="24"/>
  <c r="I32" i="41"/>
  <c r="J39" i="40"/>
  <c r="J22" i="24"/>
  <c r="J120" i="24"/>
  <c r="I115" i="41"/>
  <c r="I68" i="40"/>
  <c r="I76" i="40"/>
  <c r="I38" i="41"/>
  <c r="I128" i="41"/>
  <c r="J78" i="40"/>
  <c r="I22" i="24"/>
  <c r="I77" i="24"/>
  <c r="J101" i="24"/>
  <c r="J98" i="24"/>
  <c r="J37" i="24"/>
  <c r="I76" i="24"/>
  <c r="I103" i="24"/>
  <c r="I27" i="24"/>
  <c r="I94" i="24"/>
  <c r="I52" i="40"/>
  <c r="I105" i="24"/>
  <c r="I86" i="24"/>
  <c r="I78" i="40"/>
  <c r="I22" i="41"/>
  <c r="I31" i="41"/>
  <c r="I44" i="41"/>
  <c r="J57" i="41"/>
  <c r="I108" i="40"/>
  <c r="I133" i="40"/>
  <c r="J133" i="40"/>
  <c r="I132" i="41"/>
  <c r="I60" i="40"/>
  <c r="J132" i="41"/>
  <c r="J80" i="41"/>
  <c r="I53" i="41"/>
  <c r="J100" i="41"/>
  <c r="J56" i="40"/>
  <c r="I26" i="41"/>
  <c r="I58" i="40"/>
  <c r="J122" i="41"/>
  <c r="I58" i="41"/>
  <c r="J104" i="41"/>
  <c r="I27" i="40"/>
  <c r="I96" i="41"/>
  <c r="J34" i="40"/>
  <c r="J37" i="41"/>
  <c r="I133" i="24"/>
  <c r="I54" i="24"/>
  <c r="J129" i="24"/>
  <c r="J42" i="24"/>
  <c r="J79" i="24"/>
  <c r="J30" i="24"/>
  <c r="I91" i="41"/>
  <c r="I60" i="41"/>
  <c r="J121" i="41"/>
  <c r="I57" i="40"/>
  <c r="J123" i="41"/>
  <c r="I101" i="24"/>
  <c r="J56" i="24"/>
  <c r="I37" i="40"/>
  <c r="I38" i="40"/>
  <c r="J38" i="40"/>
  <c r="I127" i="41"/>
  <c r="J85" i="41"/>
  <c r="I29" i="24"/>
  <c r="I69" i="24"/>
  <c r="I85" i="24"/>
  <c r="J103" i="24"/>
  <c r="J94" i="24"/>
  <c r="I123" i="24"/>
  <c r="I35" i="24"/>
  <c r="I93" i="40"/>
  <c r="I41" i="40"/>
  <c r="J32" i="41"/>
  <c r="J21" i="41"/>
  <c r="I65" i="40"/>
  <c r="I18" i="41"/>
  <c r="I92" i="40"/>
  <c r="J18" i="41"/>
  <c r="I29" i="40"/>
  <c r="J43" i="40"/>
  <c r="J29" i="40"/>
  <c r="I43" i="40"/>
  <c r="I100" i="41"/>
  <c r="I56" i="40"/>
  <c r="J19" i="40"/>
  <c r="J64" i="41"/>
  <c r="I131" i="40"/>
  <c r="J59" i="40"/>
  <c r="I49" i="41"/>
  <c r="J110" i="40"/>
  <c r="I34" i="40"/>
  <c r="I37" i="41"/>
  <c r="J70" i="41"/>
  <c r="J36" i="41"/>
  <c r="J133" i="24"/>
  <c r="J54" i="24"/>
  <c r="I100" i="24"/>
  <c r="J134" i="24"/>
  <c r="J36" i="24"/>
  <c r="J61" i="41"/>
  <c r="I48" i="24"/>
  <c r="J88" i="24"/>
  <c r="I39" i="41"/>
  <c r="I39" i="40"/>
  <c r="J77" i="24"/>
  <c r="I98" i="24"/>
  <c r="J92" i="41"/>
  <c r="I37" i="24"/>
  <c r="I24" i="24"/>
  <c r="J72" i="24"/>
  <c r="I68" i="24"/>
  <c r="I117" i="24"/>
  <c r="J105" i="24"/>
  <c r="J86" i="24"/>
  <c r="J99" i="40"/>
  <c r="I32" i="40"/>
  <c r="J32" i="40"/>
  <c r="J127" i="41"/>
  <c r="I117" i="41"/>
  <c r="J53" i="41"/>
  <c r="J115" i="41"/>
  <c r="I46" i="24"/>
  <c r="J76" i="24"/>
  <c r="J27" i="24"/>
  <c r="J29" i="24"/>
  <c r="J37" i="40"/>
  <c r="J46" i="24"/>
  <c r="J69" i="24"/>
  <c r="J85" i="24"/>
  <c r="I97" i="24"/>
  <c r="I115" i="24"/>
  <c r="J52" i="24"/>
  <c r="I40" i="24"/>
  <c r="I131" i="24"/>
  <c r="J123" i="24"/>
  <c r="J35" i="24"/>
  <c r="J24" i="41"/>
  <c r="I113" i="41"/>
  <c r="J34" i="41"/>
  <c r="I101" i="40"/>
  <c r="J84" i="41"/>
  <c r="J119" i="40"/>
  <c r="I81" i="40"/>
  <c r="J83" i="40"/>
  <c r="J81" i="40"/>
  <c r="I116" i="41"/>
  <c r="J67" i="40"/>
  <c r="J116" i="41"/>
  <c r="I19" i="40"/>
  <c r="I64" i="41"/>
  <c r="J117" i="40"/>
  <c r="J107" i="41"/>
  <c r="I26" i="40"/>
  <c r="J125" i="40"/>
  <c r="J42" i="41"/>
  <c r="I119" i="41"/>
  <c r="I18" i="40"/>
  <c r="J108" i="41"/>
  <c r="J134" i="41"/>
  <c r="I70" i="41"/>
  <c r="I36" i="41"/>
  <c r="I86" i="41"/>
  <c r="J95" i="24"/>
  <c r="I108" i="24"/>
  <c r="J100" i="24"/>
  <c r="I123" i="40"/>
  <c r="I53" i="40"/>
  <c r="I134" i="24"/>
  <c r="I42" i="40"/>
  <c r="J57" i="24"/>
  <c r="J66" i="24"/>
  <c r="J118" i="41"/>
  <c r="J113" i="41"/>
  <c r="I41" i="41"/>
  <c r="I130" i="24"/>
  <c r="I122" i="24"/>
  <c r="I17" i="24"/>
  <c r="J39" i="24"/>
  <c r="J97" i="24"/>
  <c r="I52" i="24"/>
  <c r="J131" i="24"/>
  <c r="J89" i="24"/>
  <c r="J23" i="24"/>
  <c r="J74" i="41"/>
  <c r="I28" i="41"/>
  <c r="I25" i="41"/>
  <c r="I35" i="40"/>
  <c r="J25" i="41"/>
  <c r="J35" i="40"/>
  <c r="I117" i="40"/>
  <c r="I107" i="41"/>
  <c r="J88" i="40"/>
  <c r="I89" i="40"/>
  <c r="I54" i="40"/>
  <c r="I72" i="41"/>
  <c r="I25" i="40"/>
  <c r="I103" i="41"/>
  <c r="J63" i="40"/>
  <c r="J114" i="41"/>
  <c r="I66" i="40"/>
  <c r="J86" i="41"/>
  <c r="J83" i="41"/>
  <c r="J36" i="40"/>
  <c r="J50" i="40"/>
  <c r="I95" i="24"/>
  <c r="J108" i="24"/>
  <c r="I87" i="24"/>
  <c r="I59" i="24"/>
  <c r="J33" i="40"/>
  <c r="I66" i="24"/>
  <c r="J41" i="40"/>
  <c r="J40" i="40"/>
  <c r="I16" i="24"/>
  <c r="I53" i="24"/>
  <c r="J24" i="40"/>
  <c r="I82" i="40"/>
  <c r="J29" i="41"/>
  <c r="I33" i="24"/>
  <c r="I50" i="24"/>
  <c r="J115" i="24"/>
  <c r="J40" i="24"/>
  <c r="I17" i="40"/>
  <c r="I97" i="40"/>
  <c r="I118" i="40"/>
  <c r="I87" i="41"/>
  <c r="I112" i="41"/>
  <c r="I127" i="40"/>
  <c r="J28" i="41"/>
  <c r="J127" i="40"/>
  <c r="I40" i="41"/>
  <c r="J130" i="24"/>
  <c r="J122" i="24"/>
  <c r="J17" i="24"/>
  <c r="I22" i="40"/>
  <c r="J33" i="24"/>
  <c r="I39" i="24"/>
  <c r="J50" i="24"/>
  <c r="I65" i="24"/>
  <c r="J49" i="24"/>
  <c r="I74" i="24"/>
  <c r="I36" i="24"/>
  <c r="I89" i="24"/>
  <c r="I23" i="24"/>
  <c r="I43" i="41"/>
  <c r="I107" i="40"/>
  <c r="I121" i="40"/>
  <c r="I27" i="41"/>
  <c r="J90" i="41"/>
  <c r="J74" i="40"/>
  <c r="I52" i="41"/>
  <c r="I28" i="40"/>
  <c r="J52" i="41"/>
  <c r="J28" i="40"/>
  <c r="I124" i="40"/>
  <c r="I78" i="41"/>
  <c r="J78" i="41"/>
  <c r="I88" i="40"/>
  <c r="J89" i="40"/>
  <c r="J76" i="41"/>
  <c r="J94" i="41"/>
  <c r="J77" i="41"/>
  <c r="J109" i="40"/>
  <c r="J46" i="41"/>
  <c r="I132" i="40"/>
  <c r="J111" i="41"/>
  <c r="J79" i="40"/>
  <c r="I83" i="41"/>
  <c r="I36" i="40"/>
  <c r="J60" i="41"/>
  <c r="J115" i="40"/>
  <c r="I81" i="24"/>
  <c r="J87" i="24"/>
  <c r="J126" i="24"/>
  <c r="J59" i="24"/>
  <c r="I101" i="41"/>
  <c r="K101" i="41"/>
  <c r="K110" i="20"/>
  <c r="J20" i="10"/>
  <c r="J50" i="10"/>
  <c r="I23" i="10"/>
  <c r="J25" i="10"/>
  <c r="I34" i="10"/>
  <c r="I49" i="10"/>
  <c r="J19" i="10"/>
  <c r="J32" i="10"/>
  <c r="I39" i="10"/>
  <c r="J31" i="10"/>
  <c r="I22" i="10"/>
  <c r="I42" i="10"/>
  <c r="J44" i="10"/>
  <c r="J38" i="10"/>
  <c r="I35" i="10"/>
  <c r="I17" i="10"/>
  <c r="I21" i="10"/>
  <c r="I27" i="10"/>
  <c r="I33" i="10"/>
  <c r="I41" i="10"/>
  <c r="J33" i="10"/>
  <c r="J18" i="10"/>
  <c r="I55" i="10"/>
  <c r="I57" i="10"/>
  <c r="J57" i="10"/>
  <c r="I54" i="10"/>
  <c r="I30" i="10"/>
  <c r="J54" i="10"/>
  <c r="I37" i="10"/>
  <c r="I40" i="10"/>
  <c r="J24" i="10"/>
  <c r="I19" i="10"/>
  <c r="J53" i="10"/>
  <c r="J27" i="10"/>
  <c r="I46" i="10"/>
  <c r="I52" i="10"/>
  <c r="I29" i="10"/>
  <c r="J52" i="10"/>
  <c r="I47" i="10"/>
  <c r="J37" i="10"/>
  <c r="I50" i="10"/>
  <c r="J23" i="10"/>
  <c r="I26" i="10"/>
  <c r="J42" i="10"/>
  <c r="J48" i="10"/>
  <c r="J22" i="10"/>
  <c r="I38" i="10"/>
  <c r="J35" i="10"/>
  <c r="I43" i="10"/>
  <c r="J21" i="10"/>
  <c r="J55" i="10"/>
  <c r="J43" i="10"/>
  <c r="I53" i="10"/>
  <c r="I20" i="10"/>
  <c r="J40" i="10"/>
  <c r="I36" i="10"/>
  <c r="J58" i="10"/>
  <c r="I24" i="10"/>
  <c r="J47" i="10"/>
  <c r="I28" i="10"/>
  <c r="J26" i="10"/>
  <c r="J34" i="10"/>
  <c r="J28" i="10"/>
  <c r="I31" i="10"/>
  <c r="J45" i="10"/>
  <c r="I18" i="10"/>
  <c r="I16" i="10"/>
  <c r="J36" i="10"/>
  <c r="J29" i="10"/>
  <c r="I25" i="10"/>
  <c r="J41" i="10"/>
  <c r="J46" i="10"/>
  <c r="J49" i="10"/>
  <c r="I32" i="10"/>
  <c r="I58" i="10"/>
  <c r="J16" i="10"/>
  <c r="I45" i="10"/>
  <c r="J39" i="10"/>
  <c r="I51" i="10"/>
  <c r="I56" i="10"/>
  <c r="J51" i="10"/>
  <c r="J30" i="10"/>
  <c r="I44" i="10"/>
  <c r="I48" i="10"/>
  <c r="J17" i="10"/>
  <c r="J56" i="10"/>
  <c r="K82" i="40"/>
  <c r="L126" i="24"/>
  <c r="L79" i="40"/>
  <c r="L115" i="40"/>
  <c r="K124" i="40"/>
  <c r="K96" i="40"/>
  <c r="K98" i="40"/>
  <c r="K119" i="41"/>
  <c r="K128" i="40"/>
  <c r="K80" i="20"/>
  <c r="K118" i="40"/>
  <c r="K86" i="40"/>
  <c r="L114" i="41"/>
  <c r="K66" i="40"/>
  <c r="K112" i="40"/>
  <c r="L71" i="41"/>
  <c r="L109" i="41"/>
  <c r="K134" i="40"/>
  <c r="K70" i="40"/>
  <c r="K118" i="24"/>
  <c r="K114" i="40"/>
  <c r="K102" i="40"/>
  <c r="K83" i="10"/>
  <c r="L83" i="10"/>
  <c r="L116" i="41"/>
  <c r="K116" i="41"/>
  <c r="L59" i="40"/>
  <c r="K59" i="40"/>
  <c r="L69" i="20"/>
  <c r="K69" i="20"/>
  <c r="L81" i="40"/>
  <c r="K81" i="40"/>
  <c r="L87" i="40"/>
  <c r="K87" i="40"/>
  <c r="K115" i="40"/>
  <c r="I115" i="40"/>
  <c r="K93" i="40"/>
  <c r="L93" i="40"/>
  <c r="L61" i="10"/>
  <c r="K61" i="10"/>
  <c r="K126" i="24"/>
  <c r="I126" i="24"/>
  <c r="L104" i="10"/>
  <c r="K104" i="10"/>
  <c r="L68" i="10"/>
  <c r="K68" i="10"/>
  <c r="L115" i="10"/>
  <c r="K115" i="10"/>
  <c r="K87" i="10"/>
  <c r="L87" i="10"/>
  <c r="L65" i="40"/>
  <c r="K65" i="40"/>
  <c r="L63" i="24"/>
  <c r="K63" i="24"/>
  <c r="L102" i="41"/>
  <c r="K102" i="41"/>
  <c r="L81" i="41"/>
  <c r="K81" i="41"/>
  <c r="K87" i="20"/>
  <c r="L87" i="20"/>
  <c r="K94" i="40"/>
  <c r="L94" i="40"/>
  <c r="L97" i="40"/>
  <c r="K97" i="40"/>
  <c r="K70" i="24"/>
  <c r="L70" i="24"/>
  <c r="L89" i="40"/>
  <c r="K89" i="40"/>
  <c r="K86" i="24"/>
  <c r="L86" i="24"/>
  <c r="L101" i="40"/>
  <c r="K101" i="40"/>
  <c r="L100" i="24"/>
  <c r="K100" i="24"/>
  <c r="K110" i="40"/>
  <c r="L110" i="40"/>
  <c r="K74" i="20"/>
  <c r="L74" i="20"/>
  <c r="L91" i="24"/>
  <c r="K91" i="24"/>
  <c r="L93" i="41"/>
  <c r="K93" i="41"/>
  <c r="K96" i="41"/>
  <c r="L96" i="41"/>
  <c r="K106" i="10"/>
  <c r="L106" i="10"/>
  <c r="L122" i="40"/>
  <c r="K122" i="40"/>
  <c r="L134" i="10"/>
  <c r="K134" i="10"/>
  <c r="K92" i="41"/>
  <c r="L92" i="41"/>
  <c r="L115" i="41"/>
  <c r="K115" i="41"/>
  <c r="L119" i="40"/>
  <c r="K119" i="40"/>
  <c r="K64" i="40"/>
  <c r="K127" i="40"/>
  <c r="L127" i="40"/>
  <c r="L94" i="41"/>
  <c r="K94" i="41"/>
  <c r="L81" i="24"/>
  <c r="K81" i="24"/>
  <c r="L71" i="40"/>
  <c r="K71" i="40"/>
  <c r="L127" i="24"/>
  <c r="K127" i="24"/>
  <c r="L77" i="40"/>
  <c r="K77" i="40"/>
  <c r="L97" i="24"/>
  <c r="K97" i="24"/>
  <c r="L83" i="40"/>
  <c r="L61" i="24"/>
  <c r="K61" i="24"/>
  <c r="K132" i="40"/>
  <c r="L132" i="40"/>
  <c r="L67" i="24"/>
  <c r="K67" i="24"/>
  <c r="L123" i="40"/>
  <c r="K123" i="40"/>
  <c r="L113" i="24"/>
  <c r="K113" i="24"/>
  <c r="L135" i="40"/>
  <c r="K135" i="40"/>
  <c r="L85" i="24"/>
  <c r="K85" i="24"/>
  <c r="L90" i="40"/>
  <c r="K90" i="40"/>
  <c r="K63" i="41"/>
  <c r="L63" i="41"/>
  <c r="L91" i="40"/>
  <c r="K91" i="40"/>
  <c r="L133" i="41"/>
  <c r="J133" i="41"/>
  <c r="K100" i="40"/>
  <c r="L100" i="40"/>
  <c r="K109" i="40"/>
  <c r="L109" i="40"/>
  <c r="L70" i="40"/>
  <c r="J70" i="40"/>
  <c r="L120" i="10"/>
  <c r="K120" i="10"/>
  <c r="K126" i="41"/>
  <c r="L126" i="41"/>
  <c r="L101" i="20"/>
  <c r="K101" i="20"/>
  <c r="L72" i="10"/>
  <c r="K72" i="10"/>
  <c r="L131" i="41"/>
  <c r="J131" i="41"/>
  <c r="L105" i="40"/>
  <c r="K105" i="40"/>
  <c r="K64" i="41"/>
  <c r="L64" i="41"/>
  <c r="K86" i="41"/>
  <c r="L86" i="41"/>
  <c r="K71" i="20"/>
  <c r="L71" i="20"/>
  <c r="L132" i="24"/>
  <c r="K132" i="24"/>
  <c r="L128" i="41"/>
  <c r="K128" i="41"/>
  <c r="L121" i="41"/>
  <c r="K121" i="41"/>
  <c r="K84" i="41"/>
  <c r="I84" i="41"/>
  <c r="L75" i="24"/>
  <c r="K75" i="24"/>
  <c r="L121" i="20"/>
  <c r="K121" i="20"/>
  <c r="L129" i="41"/>
  <c r="K129" i="41"/>
  <c r="L96" i="20"/>
  <c r="K96" i="20"/>
  <c r="K92" i="40"/>
  <c r="L130" i="20"/>
  <c r="K130" i="20"/>
  <c r="K84" i="24"/>
  <c r="L84" i="24"/>
  <c r="L112" i="41"/>
  <c r="K112" i="41"/>
  <c r="L130" i="24"/>
  <c r="K130" i="24"/>
  <c r="L72" i="40"/>
  <c r="K72" i="40"/>
  <c r="K68" i="24"/>
  <c r="L68" i="24"/>
  <c r="K133" i="20"/>
  <c r="L133" i="20"/>
  <c r="L112" i="40"/>
  <c r="J112" i="40"/>
  <c r="K75" i="20"/>
  <c r="L75" i="20"/>
  <c r="K63" i="40"/>
  <c r="I63" i="40"/>
  <c r="K114" i="41"/>
  <c r="I114" i="41"/>
  <c r="L105" i="41"/>
  <c r="K105" i="41"/>
  <c r="L117" i="41"/>
  <c r="K117" i="41"/>
  <c r="K122" i="41"/>
  <c r="L122" i="41"/>
  <c r="L110" i="20"/>
  <c r="J110" i="20"/>
  <c r="L85" i="40"/>
  <c r="K85" i="40"/>
  <c r="L131" i="40"/>
  <c r="K131" i="40"/>
  <c r="L111" i="10"/>
  <c r="K111" i="10"/>
  <c r="L91" i="10"/>
  <c r="K91" i="10"/>
  <c r="K84" i="10"/>
  <c r="L84" i="10"/>
  <c r="K69" i="10"/>
  <c r="L69" i="10"/>
  <c r="L131" i="10"/>
  <c r="K131" i="10"/>
  <c r="L72" i="20"/>
  <c r="K72" i="20"/>
  <c r="L83" i="20"/>
  <c r="K83" i="20"/>
  <c r="L95" i="24"/>
  <c r="K95" i="24"/>
  <c r="L90" i="20"/>
  <c r="L93" i="24"/>
  <c r="K93" i="24"/>
  <c r="L124" i="24"/>
  <c r="K124" i="24"/>
  <c r="L104" i="40"/>
  <c r="K104" i="40"/>
  <c r="L133" i="40"/>
  <c r="K133" i="40"/>
  <c r="L130" i="41"/>
  <c r="K130" i="41"/>
  <c r="L122" i="24"/>
  <c r="K122" i="24"/>
  <c r="L131" i="24"/>
  <c r="K131" i="24"/>
  <c r="L120" i="40"/>
  <c r="K120" i="40"/>
  <c r="L70" i="20"/>
  <c r="K70" i="20"/>
  <c r="K133" i="24"/>
  <c r="L133" i="24"/>
  <c r="K93" i="20"/>
  <c r="L93" i="20"/>
  <c r="L102" i="20"/>
  <c r="K102" i="20"/>
  <c r="L99" i="24"/>
  <c r="K99" i="24"/>
  <c r="L134" i="40"/>
  <c r="J134" i="40"/>
  <c r="L111" i="41"/>
  <c r="K111" i="41"/>
  <c r="K79" i="40"/>
  <c r="I79" i="40"/>
  <c r="K125" i="40"/>
  <c r="L125" i="40"/>
  <c r="L104" i="24"/>
  <c r="K104" i="24"/>
  <c r="K60" i="24"/>
  <c r="L60" i="24"/>
  <c r="K68" i="40"/>
  <c r="L68" i="40"/>
  <c r="K109" i="10"/>
  <c r="L109" i="10"/>
  <c r="L67" i="10"/>
  <c r="K67" i="10"/>
  <c r="L103" i="40"/>
  <c r="K103" i="40"/>
  <c r="L113" i="40"/>
  <c r="K113" i="40"/>
  <c r="L123" i="10"/>
  <c r="K123" i="10"/>
  <c r="K121" i="10"/>
  <c r="L121" i="10"/>
  <c r="K66" i="10"/>
  <c r="L66" i="10"/>
  <c r="L88" i="10"/>
  <c r="K88" i="10"/>
  <c r="K85" i="10"/>
  <c r="L85" i="10"/>
  <c r="L82" i="10"/>
  <c r="K82" i="10"/>
  <c r="L103" i="10"/>
  <c r="K103" i="10"/>
  <c r="L100" i="20"/>
  <c r="J100" i="20"/>
  <c r="K90" i="24"/>
  <c r="L90" i="24"/>
  <c r="K79" i="20"/>
  <c r="L79" i="20"/>
  <c r="K128" i="20"/>
  <c r="L128" i="20"/>
  <c r="L89" i="41"/>
  <c r="K89" i="41"/>
  <c r="L102" i="40"/>
  <c r="J102" i="40"/>
  <c r="L134" i="41"/>
  <c r="K134" i="41"/>
  <c r="K97" i="20"/>
  <c r="L97" i="20"/>
  <c r="K116" i="20"/>
  <c r="L88" i="20"/>
  <c r="K88" i="20"/>
  <c r="L134" i="24"/>
  <c r="K134" i="24"/>
  <c r="K82" i="20"/>
  <c r="L82" i="20"/>
  <c r="K100" i="41"/>
  <c r="L100" i="41"/>
  <c r="L98" i="20"/>
  <c r="K77" i="41"/>
  <c r="I77" i="41"/>
  <c r="K78" i="40"/>
  <c r="L78" i="40"/>
  <c r="K60" i="41"/>
  <c r="L60" i="41"/>
  <c r="K106" i="24"/>
  <c r="L106" i="24"/>
  <c r="L69" i="41"/>
  <c r="K69" i="41"/>
  <c r="K73" i="20"/>
  <c r="L73" i="20"/>
  <c r="L77" i="41"/>
  <c r="L64" i="10"/>
  <c r="K64" i="10"/>
  <c r="K111" i="40"/>
  <c r="L111" i="40"/>
  <c r="K99" i="40"/>
  <c r="I99" i="40"/>
  <c r="L76" i="10"/>
  <c r="K76" i="10"/>
  <c r="L95" i="10"/>
  <c r="K95" i="10"/>
  <c r="L132" i="10"/>
  <c r="K132" i="10"/>
  <c r="L80" i="10"/>
  <c r="K80" i="10"/>
  <c r="K99" i="10"/>
  <c r="L99" i="10"/>
  <c r="K124" i="10"/>
  <c r="L124" i="10"/>
  <c r="L93" i="10"/>
  <c r="K93" i="10"/>
  <c r="L113" i="10"/>
  <c r="K113" i="10"/>
  <c r="L86" i="10"/>
  <c r="K86" i="10"/>
  <c r="K107" i="10"/>
  <c r="L107" i="10"/>
  <c r="L79" i="24"/>
  <c r="K79" i="24"/>
  <c r="L80" i="41"/>
  <c r="K80" i="41"/>
  <c r="K76" i="40"/>
  <c r="L65" i="24"/>
  <c r="K65" i="24"/>
  <c r="L77" i="24"/>
  <c r="K77" i="24"/>
  <c r="L114" i="40"/>
  <c r="J114" i="40"/>
  <c r="L88" i="24"/>
  <c r="K88" i="24"/>
  <c r="L135" i="24"/>
  <c r="K135" i="24"/>
  <c r="K76" i="20"/>
  <c r="L76" i="20"/>
  <c r="L95" i="20"/>
  <c r="K95" i="20"/>
  <c r="K107" i="41"/>
  <c r="L107" i="41"/>
  <c r="K73" i="41"/>
  <c r="L73" i="41"/>
  <c r="K106" i="20"/>
  <c r="L106" i="20"/>
  <c r="K134" i="20"/>
  <c r="L134" i="20"/>
  <c r="K115" i="20"/>
  <c r="L115" i="20"/>
  <c r="K66" i="41"/>
  <c r="L66" i="41"/>
  <c r="L65" i="20"/>
  <c r="K65" i="20"/>
  <c r="K72" i="41"/>
  <c r="L72" i="41"/>
  <c r="L85" i="41"/>
  <c r="K85" i="41"/>
  <c r="K127" i="10"/>
  <c r="L127" i="10"/>
  <c r="K125" i="10"/>
  <c r="L125" i="10"/>
  <c r="L112" i="10"/>
  <c r="K112" i="10"/>
  <c r="K81" i="10"/>
  <c r="L81" i="10"/>
  <c r="L118" i="24"/>
  <c r="J118" i="24"/>
  <c r="K131" i="41"/>
  <c r="I131" i="41"/>
  <c r="L101" i="24"/>
  <c r="K101" i="24"/>
  <c r="L108" i="24"/>
  <c r="K108" i="24"/>
  <c r="L115" i="24"/>
  <c r="K115" i="24"/>
  <c r="K89" i="20"/>
  <c r="L89" i="20"/>
  <c r="L92" i="20"/>
  <c r="K92" i="20"/>
  <c r="L78" i="41"/>
  <c r="K78" i="41"/>
  <c r="L128" i="40"/>
  <c r="J128" i="40"/>
  <c r="L59" i="24"/>
  <c r="K59" i="24"/>
  <c r="L88" i="40"/>
  <c r="K88" i="40"/>
  <c r="K72" i="24"/>
  <c r="L72" i="24"/>
  <c r="K126" i="40"/>
  <c r="L126" i="40"/>
  <c r="L125" i="24"/>
  <c r="K125" i="24"/>
  <c r="L129" i="40"/>
  <c r="K129" i="40"/>
  <c r="K78" i="24"/>
  <c r="L78" i="24"/>
  <c r="K62" i="24"/>
  <c r="L62" i="24"/>
  <c r="L97" i="10"/>
  <c r="K97" i="10"/>
  <c r="L124" i="20"/>
  <c r="J124" i="20"/>
  <c r="K90" i="10"/>
  <c r="L90" i="10"/>
  <c r="L68" i="20"/>
  <c r="J68" i="20"/>
  <c r="L86" i="40"/>
  <c r="J86" i="40"/>
  <c r="L60" i="20"/>
  <c r="K60" i="20"/>
  <c r="K77" i="10"/>
  <c r="L77" i="10"/>
  <c r="AE59" i="10"/>
  <c r="L59" i="10"/>
  <c r="K59" i="10"/>
  <c r="L108" i="10"/>
  <c r="K108" i="10"/>
  <c r="L94" i="10"/>
  <c r="K94" i="10"/>
  <c r="L130" i="10"/>
  <c r="K130" i="10"/>
  <c r="K116" i="24"/>
  <c r="I116" i="24"/>
  <c r="K103" i="20"/>
  <c r="L103" i="20"/>
  <c r="L118" i="20"/>
  <c r="K118" i="20"/>
  <c r="L109" i="24"/>
  <c r="K109" i="24"/>
  <c r="K62" i="40"/>
  <c r="L62" i="40"/>
  <c r="L118" i="40"/>
  <c r="J118" i="40"/>
  <c r="L87" i="41"/>
  <c r="J87" i="41"/>
  <c r="L123" i="24"/>
  <c r="K123" i="24"/>
  <c r="K95" i="40"/>
  <c r="I95" i="40"/>
  <c r="L62" i="20"/>
  <c r="K62" i="20"/>
  <c r="K68" i="20"/>
  <c r="L91" i="41"/>
  <c r="K91" i="41"/>
  <c r="K125" i="41"/>
  <c r="L125" i="41"/>
  <c r="L108" i="41"/>
  <c r="K108" i="41"/>
  <c r="L88" i="41"/>
  <c r="K77" i="20"/>
  <c r="L77" i="20"/>
  <c r="L119" i="41"/>
  <c r="J119" i="41"/>
  <c r="K99" i="20"/>
  <c r="L99" i="20"/>
  <c r="L111" i="20"/>
  <c r="K111" i="20"/>
  <c r="L96" i="40"/>
  <c r="J96" i="40"/>
  <c r="L75" i="10"/>
  <c r="K75" i="10"/>
  <c r="K100" i="10"/>
  <c r="L100" i="10"/>
  <c r="K126" i="10"/>
  <c r="L126" i="10"/>
  <c r="L63" i="10"/>
  <c r="K63" i="10"/>
  <c r="L128" i="10"/>
  <c r="K128" i="10"/>
  <c r="K98" i="10"/>
  <c r="L98" i="10"/>
  <c r="K135" i="10"/>
  <c r="L135" i="10"/>
  <c r="L116" i="24"/>
  <c r="J116" i="24"/>
  <c r="L61" i="20"/>
  <c r="K61" i="20"/>
  <c r="L116" i="20"/>
  <c r="J116" i="20"/>
  <c r="K123" i="41"/>
  <c r="L123" i="41"/>
  <c r="K100" i="20"/>
  <c r="K118" i="41"/>
  <c r="L118" i="41"/>
  <c r="L128" i="24"/>
  <c r="K128" i="24"/>
  <c r="L119" i="20"/>
  <c r="K119" i="20"/>
  <c r="K124" i="20"/>
  <c r="K71" i="41"/>
  <c r="I71" i="41"/>
  <c r="K68" i="41"/>
  <c r="L68" i="41"/>
  <c r="K120" i="41"/>
  <c r="L120" i="41"/>
  <c r="L132" i="41"/>
  <c r="K132" i="41"/>
  <c r="L97" i="41"/>
  <c r="K97" i="41"/>
  <c r="L99" i="41"/>
  <c r="J99" i="41"/>
  <c r="K67" i="20"/>
  <c r="L67" i="20"/>
  <c r="L119" i="24"/>
  <c r="K119" i="24"/>
  <c r="K116" i="40"/>
  <c r="L116" i="40"/>
  <c r="L111" i="24"/>
  <c r="K111" i="24"/>
  <c r="K112" i="20"/>
  <c r="L112" i="20"/>
  <c r="K83" i="41"/>
  <c r="L83" i="41"/>
  <c r="L101" i="41"/>
  <c r="D114" i="40"/>
  <c r="D108" i="40"/>
  <c r="D99" i="40"/>
  <c r="D84" i="40"/>
  <c r="D69" i="40"/>
  <c r="D66" i="40"/>
  <c r="D60" i="40"/>
  <c r="D56" i="40"/>
  <c r="D44" i="40"/>
  <c r="D130" i="41"/>
  <c r="D121" i="41"/>
  <c r="D116" i="41"/>
  <c r="D98" i="41"/>
  <c r="D75" i="41"/>
  <c r="D54" i="41"/>
  <c r="D129" i="40"/>
  <c r="D126" i="40"/>
  <c r="D117" i="40"/>
  <c r="D105" i="40"/>
  <c r="D90" i="40"/>
  <c r="D75" i="40"/>
  <c r="D72" i="40"/>
  <c r="D52" i="40"/>
  <c r="D112" i="41"/>
  <c r="D95" i="41"/>
  <c r="D46" i="41"/>
  <c r="D34" i="41"/>
  <c r="D30" i="41"/>
  <c r="D119" i="20"/>
  <c r="D116" i="20"/>
  <c r="D113" i="20"/>
  <c r="D107" i="20"/>
  <c r="D104" i="20"/>
  <c r="D120" i="40"/>
  <c r="D135" i="40"/>
  <c r="D123" i="40"/>
  <c r="D95" i="40"/>
  <c r="D86" i="40"/>
  <c r="D80" i="40"/>
  <c r="D39" i="40"/>
  <c r="D31" i="40"/>
  <c r="D27" i="40"/>
  <c r="D133" i="41"/>
  <c r="D123" i="41"/>
  <c r="D83" i="41"/>
  <c r="D63" i="41"/>
  <c r="D38" i="41"/>
  <c r="D25" i="41"/>
  <c r="D17" i="41"/>
  <c r="D128" i="20"/>
  <c r="D132" i="40"/>
  <c r="D98" i="40"/>
  <c r="D92" i="40"/>
  <c r="D43" i="40"/>
  <c r="D128" i="40"/>
  <c r="D113" i="40"/>
  <c r="D110" i="40"/>
  <c r="D101" i="40"/>
  <c r="D89" i="40"/>
  <c r="D83" i="40"/>
  <c r="D77" i="40"/>
  <c r="D71" i="40"/>
  <c r="D65" i="40"/>
  <c r="D62" i="40"/>
  <c r="D55" i="40"/>
  <c r="D51" i="40"/>
  <c r="D119" i="40"/>
  <c r="D104" i="40"/>
  <c r="D68" i="40"/>
  <c r="D34" i="40"/>
  <c r="D134" i="40"/>
  <c r="D125" i="40"/>
  <c r="D116" i="40"/>
  <c r="D107" i="40"/>
  <c r="D74" i="40"/>
  <c r="D59" i="40"/>
  <c r="AB59" i="40" s="1"/>
  <c r="AO59" i="40" s="1"/>
  <c r="D47" i="40"/>
  <c r="D42" i="40"/>
  <c r="D38" i="40"/>
  <c r="D30" i="40"/>
  <c r="D125" i="41"/>
  <c r="D114" i="41"/>
  <c r="D94" i="41"/>
  <c r="D91" i="41"/>
  <c r="D71" i="41"/>
  <c r="D68" i="41"/>
  <c r="D65" i="41"/>
  <c r="D49" i="41"/>
  <c r="D44" i="41"/>
  <c r="D32" i="41"/>
  <c r="D133" i="20"/>
  <c r="D130" i="20"/>
  <c r="D112" i="20"/>
  <c r="D103" i="20"/>
  <c r="D131" i="40"/>
  <c r="D122" i="40"/>
  <c r="D112" i="40"/>
  <c r="D97" i="40"/>
  <c r="D94" i="40"/>
  <c r="D79" i="40"/>
  <c r="D70" i="40"/>
  <c r="D64" i="40"/>
  <c r="D50" i="40"/>
  <c r="D128" i="41"/>
  <c r="D122" i="41"/>
  <c r="D117" i="41"/>
  <c r="D105" i="41"/>
  <c r="D88" i="41"/>
  <c r="D82" i="41"/>
  <c r="D79" i="41"/>
  <c r="D76" i="41"/>
  <c r="D62" i="41"/>
  <c r="D118" i="40"/>
  <c r="D103" i="40"/>
  <c r="D85" i="40"/>
  <c r="D82" i="40"/>
  <c r="D76" i="40"/>
  <c r="D58" i="40"/>
  <c r="D54" i="40"/>
  <c r="D46" i="40"/>
  <c r="D37" i="40"/>
  <c r="D29" i="40"/>
  <c r="D85" i="41"/>
  <c r="D59" i="41"/>
  <c r="AB59" i="41" s="1"/>
  <c r="AO59" i="41" s="1"/>
  <c r="D52" i="41"/>
  <c r="D36" i="41"/>
  <c r="D23" i="41"/>
  <c r="D127" i="40"/>
  <c r="D109" i="40"/>
  <c r="D100" i="40"/>
  <c r="D91" i="40"/>
  <c r="D88" i="40"/>
  <c r="D73" i="40"/>
  <c r="D67" i="40"/>
  <c r="D61" i="40"/>
  <c r="D41" i="40"/>
  <c r="D33" i="40"/>
  <c r="D25" i="40"/>
  <c r="D21" i="40"/>
  <c r="D17" i="40"/>
  <c r="D110" i="41"/>
  <c r="D55" i="41"/>
  <c r="D48" i="41"/>
  <c r="D40" i="41"/>
  <c r="D19" i="41"/>
  <c r="D135" i="20"/>
  <c r="D120" i="20"/>
  <c r="D108" i="20"/>
  <c r="D124" i="40"/>
  <c r="D115" i="40"/>
  <c r="D130" i="40"/>
  <c r="D121" i="40"/>
  <c r="D106" i="40"/>
  <c r="D96" i="40"/>
  <c r="D57" i="40"/>
  <c r="D53" i="40"/>
  <c r="D45" i="40"/>
  <c r="D133" i="40"/>
  <c r="D102" i="40"/>
  <c r="D49" i="40"/>
  <c r="D36" i="40"/>
  <c r="D111" i="40"/>
  <c r="D93" i="40"/>
  <c r="D87" i="40"/>
  <c r="D81" i="40"/>
  <c r="D78" i="40"/>
  <c r="D63" i="40"/>
  <c r="D40" i="40"/>
  <c r="D32" i="40"/>
  <c r="D28" i="40"/>
  <c r="D24" i="40"/>
  <c r="D20" i="40"/>
  <c r="D16" i="40"/>
  <c r="D104" i="41"/>
  <c r="D87" i="41"/>
  <c r="D84" i="41"/>
  <c r="D51" i="41"/>
  <c r="D39" i="41"/>
  <c r="D26" i="41"/>
  <c r="D18" i="41"/>
  <c r="D132" i="20"/>
  <c r="D100" i="41"/>
  <c r="D47" i="41"/>
  <c r="D122" i="20"/>
  <c r="D117" i="20"/>
  <c r="D100" i="20"/>
  <c r="D91" i="20"/>
  <c r="D61" i="20"/>
  <c r="D54" i="20"/>
  <c r="D17" i="20"/>
  <c r="D134" i="24"/>
  <c r="D100" i="24"/>
  <c r="D93" i="24"/>
  <c r="D68" i="24"/>
  <c r="D61" i="24"/>
  <c r="D41" i="24"/>
  <c r="D37" i="24"/>
  <c r="D22" i="40"/>
  <c r="D135" i="41"/>
  <c r="D111" i="41"/>
  <c r="D53" i="41"/>
  <c r="D24" i="41"/>
  <c r="D127" i="20"/>
  <c r="D94" i="20"/>
  <c r="D86" i="20"/>
  <c r="D64" i="20"/>
  <c r="D29" i="20"/>
  <c r="D120" i="24"/>
  <c r="D114" i="24"/>
  <c r="D107" i="24"/>
  <c r="D82" i="24"/>
  <c r="D75" i="24"/>
  <c r="D57" i="24"/>
  <c r="D49" i="24"/>
  <c r="D35" i="40"/>
  <c r="D134" i="41"/>
  <c r="D99" i="41"/>
  <c r="D93" i="41"/>
  <c r="D70" i="41"/>
  <c r="D127" i="41"/>
  <c r="D81" i="41"/>
  <c r="D19" i="40"/>
  <c r="D109" i="41"/>
  <c r="D92" i="41"/>
  <c r="D80" i="41"/>
  <c r="D126" i="41"/>
  <c r="D115" i="41"/>
  <c r="D69" i="41"/>
  <c r="D86" i="41"/>
  <c r="D108" i="41"/>
  <c r="D97" i="41"/>
  <c r="D43" i="41"/>
  <c r="D115" i="20"/>
  <c r="D110" i="20"/>
  <c r="D105" i="20"/>
  <c r="D77" i="20"/>
  <c r="D52" i="20"/>
  <c r="D19" i="20"/>
  <c r="D109" i="24"/>
  <c r="D84" i="24"/>
  <c r="D77" i="24"/>
  <c r="D43" i="24"/>
  <c r="D26" i="40"/>
  <c r="D18" i="40"/>
  <c r="D132" i="41"/>
  <c r="D120" i="41"/>
  <c r="D103" i="41"/>
  <c r="D74" i="41"/>
  <c r="D56" i="41"/>
  <c r="D50" i="41"/>
  <c r="D134" i="20"/>
  <c r="D129" i="20"/>
  <c r="D87" i="20"/>
  <c r="D80" i="20"/>
  <c r="D71" i="20"/>
  <c r="D27" i="20"/>
  <c r="D129" i="24"/>
  <c r="D126" i="24"/>
  <c r="D121" i="24"/>
  <c r="D98" i="24"/>
  <c r="D91" i="24"/>
  <c r="D66" i="24"/>
  <c r="D59" i="24"/>
  <c r="AB59" i="24" s="1"/>
  <c r="AO59" i="24" s="1"/>
  <c r="D51" i="24"/>
  <c r="D47" i="24"/>
  <c r="D39" i="24"/>
  <c r="D131" i="41"/>
  <c r="D102" i="41"/>
  <c r="D96" i="41"/>
  <c r="D73" i="41"/>
  <c r="D42" i="41"/>
  <c r="D28" i="41"/>
  <c r="D20" i="41"/>
  <c r="D124" i="20"/>
  <c r="D114" i="20"/>
  <c r="D101" i="20"/>
  <c r="D59" i="20"/>
  <c r="AD59" i="20" s="1"/>
  <c r="D39" i="20"/>
  <c r="D23" i="20"/>
  <c r="D132" i="24"/>
  <c r="D112" i="24"/>
  <c r="D105" i="24"/>
  <c r="D80" i="24"/>
  <c r="D73" i="24"/>
  <c r="D55" i="24"/>
  <c r="D119" i="41"/>
  <c r="D113" i="41"/>
  <c r="D107" i="41"/>
  <c r="D78" i="41"/>
  <c r="D35" i="41"/>
  <c r="D27" i="41"/>
  <c r="D92" i="20"/>
  <c r="D89" i="20"/>
  <c r="D68" i="20"/>
  <c r="D62" i="20"/>
  <c r="D47" i="20"/>
  <c r="D43" i="20"/>
  <c r="D31" i="20"/>
  <c r="D123" i="24"/>
  <c r="D94" i="24"/>
  <c r="D87" i="24"/>
  <c r="D62" i="24"/>
  <c r="D124" i="41"/>
  <c r="D90" i="41"/>
  <c r="D67" i="41"/>
  <c r="D61" i="41"/>
  <c r="D106" i="41"/>
  <c r="D101" i="41"/>
  <c r="D72" i="41"/>
  <c r="D66" i="41"/>
  <c r="D90" i="20"/>
  <c r="D69" i="20"/>
  <c r="D53" i="20"/>
  <c r="D46" i="20"/>
  <c r="D60" i="24"/>
  <c r="D54" i="24"/>
  <c r="D35" i="24"/>
  <c r="D82" i="20"/>
  <c r="D88" i="24"/>
  <c r="D46" i="24"/>
  <c r="D48" i="40"/>
  <c r="D64" i="41"/>
  <c r="D40" i="20"/>
  <c r="D33" i="20"/>
  <c r="D20" i="20"/>
  <c r="D111" i="24"/>
  <c r="D71" i="24"/>
  <c r="D30" i="24"/>
  <c r="D26" i="24"/>
  <c r="D22" i="24"/>
  <c r="D18" i="24"/>
  <c r="D72" i="20"/>
  <c r="D76" i="24"/>
  <c r="D65" i="24"/>
  <c r="D53" i="24"/>
  <c r="D40" i="24"/>
  <c r="D23" i="40"/>
  <c r="D26" i="20"/>
  <c r="D126" i="20"/>
  <c r="D118" i="20"/>
  <c r="D111" i="20"/>
  <c r="D99" i="20"/>
  <c r="D58" i="20"/>
  <c r="D45" i="20"/>
  <c r="D89" i="41"/>
  <c r="D60" i="41"/>
  <c r="D98" i="20"/>
  <c r="D76" i="20"/>
  <c r="D63" i="20"/>
  <c r="D51" i="20"/>
  <c r="D32" i="20"/>
  <c r="D25" i="20"/>
  <c r="D18" i="20"/>
  <c r="D128" i="24"/>
  <c r="D124" i="24"/>
  <c r="D115" i="24"/>
  <c r="D37" i="41"/>
  <c r="D85" i="20"/>
  <c r="D81" i="20"/>
  <c r="D57" i="20"/>
  <c r="D38" i="20"/>
  <c r="D129" i="41"/>
  <c r="D45" i="41"/>
  <c r="D125" i="20"/>
  <c r="D109" i="20"/>
  <c r="D102" i="20"/>
  <c r="D93" i="20"/>
  <c r="D67" i="20"/>
  <c r="D133" i="24"/>
  <c r="D33" i="41"/>
  <c r="D88" i="20"/>
  <c r="D50" i="20"/>
  <c r="D44" i="20"/>
  <c r="D37" i="20"/>
  <c r="D127" i="24"/>
  <c r="D58" i="41"/>
  <c r="D22" i="41"/>
  <c r="D123" i="20"/>
  <c r="D75" i="20"/>
  <c r="D49" i="20"/>
  <c r="D30" i="20"/>
  <c r="D24" i="20"/>
  <c r="D119" i="24"/>
  <c r="D108" i="24"/>
  <c r="D97" i="24"/>
  <c r="D44" i="24"/>
  <c r="D42" i="24"/>
  <c r="D27" i="24"/>
  <c r="D77" i="41"/>
  <c r="D57" i="41"/>
  <c r="D21" i="41"/>
  <c r="D131" i="20"/>
  <c r="D97" i="20"/>
  <c r="D84" i="20"/>
  <c r="D56" i="20"/>
  <c r="D74" i="24"/>
  <c r="D63" i="24"/>
  <c r="D32" i="24"/>
  <c r="D28" i="24"/>
  <c r="D24" i="24"/>
  <c r="D20" i="24"/>
  <c r="D102" i="24"/>
  <c r="D74" i="20"/>
  <c r="D22" i="20"/>
  <c r="D19" i="24"/>
  <c r="D118" i="41"/>
  <c r="D31" i="41"/>
  <c r="D66" i="20"/>
  <c r="D55" i="20"/>
  <c r="D42" i="20"/>
  <c r="D96" i="24"/>
  <c r="D85" i="24"/>
  <c r="D50" i="24"/>
  <c r="D56" i="24"/>
  <c r="D35" i="20"/>
  <c r="D78" i="24"/>
  <c r="D70" i="20"/>
  <c r="D36" i="20"/>
  <c r="D16" i="20"/>
  <c r="D131" i="24"/>
  <c r="D122" i="24"/>
  <c r="D118" i="24"/>
  <c r="D90" i="24"/>
  <c r="D79" i="24"/>
  <c r="D101" i="24"/>
  <c r="D36" i="24"/>
  <c r="D106" i="20"/>
  <c r="D79" i="20"/>
  <c r="D113" i="24"/>
  <c r="D41" i="41"/>
  <c r="D96" i="20"/>
  <c r="D65" i="20"/>
  <c r="D60" i="20"/>
  <c r="D48" i="20"/>
  <c r="D41" i="20"/>
  <c r="D67" i="24"/>
  <c r="D121" i="20"/>
  <c r="D95" i="20"/>
  <c r="D83" i="20"/>
  <c r="D78" i="20"/>
  <c r="D28" i="20"/>
  <c r="D21" i="20"/>
  <c r="D135" i="24"/>
  <c r="D130" i="24"/>
  <c r="D125" i="24"/>
  <c r="D117" i="24"/>
  <c r="D89" i="24"/>
  <c r="D72" i="24"/>
  <c r="D48" i="24"/>
  <c r="D31" i="24"/>
  <c r="D23" i="24"/>
  <c r="D29" i="41"/>
  <c r="D16" i="41"/>
  <c r="D73" i="20"/>
  <c r="D34" i="20"/>
  <c r="D116" i="24"/>
  <c r="D110" i="24"/>
  <c r="D95" i="24"/>
  <c r="D99" i="24"/>
  <c r="D86" i="24"/>
  <c r="D70" i="24"/>
  <c r="D38" i="24"/>
  <c r="D25" i="24"/>
  <c r="D83" i="24"/>
  <c r="D69" i="24"/>
  <c r="D34" i="24"/>
  <c r="D52" i="24"/>
  <c r="D58" i="24"/>
  <c r="D103" i="24"/>
  <c r="D81" i="24"/>
  <c r="D45" i="24"/>
  <c r="D17" i="24"/>
  <c r="D106" i="24"/>
  <c r="D92" i="24"/>
  <c r="D29" i="24"/>
  <c r="D104" i="24"/>
  <c r="D64" i="24"/>
  <c r="D16" i="24"/>
  <c r="D21" i="24"/>
  <c r="D33" i="24"/>
  <c r="L71" i="10"/>
  <c r="K71" i="10"/>
  <c r="L114" i="10"/>
  <c r="K114" i="10"/>
  <c r="K102" i="10"/>
  <c r="L102" i="10"/>
  <c r="L119" i="10"/>
  <c r="K119" i="10"/>
  <c r="K124" i="41"/>
  <c r="L124" i="41"/>
  <c r="K102" i="24"/>
  <c r="L102" i="24"/>
  <c r="K113" i="20"/>
  <c r="L113" i="20"/>
  <c r="L80" i="40"/>
  <c r="J80" i="40"/>
  <c r="K129" i="20"/>
  <c r="L129" i="20"/>
  <c r="L74" i="41"/>
  <c r="K74" i="41"/>
  <c r="L103" i="41"/>
  <c r="K103" i="41"/>
  <c r="L89" i="24"/>
  <c r="K89" i="24"/>
  <c r="L76" i="40"/>
  <c r="J76" i="40"/>
  <c r="L96" i="24"/>
  <c r="K96" i="24"/>
  <c r="K99" i="41"/>
  <c r="I99" i="41"/>
  <c r="L117" i="24"/>
  <c r="K117" i="24"/>
  <c r="L94" i="20"/>
  <c r="K94" i="20"/>
  <c r="L83" i="24"/>
  <c r="K83" i="24"/>
  <c r="L131" i="20"/>
  <c r="K131" i="20"/>
  <c r="L61" i="41"/>
  <c r="K61" i="41"/>
  <c r="K67" i="41"/>
  <c r="L90" i="41"/>
  <c r="K90" i="41"/>
  <c r="L84" i="41"/>
  <c r="L67" i="41"/>
  <c r="J67" i="41"/>
  <c r="K90" i="20"/>
  <c r="I90" i="20"/>
  <c r="L112" i="24"/>
  <c r="K112" i="24"/>
  <c r="K74" i="24"/>
  <c r="L74" i="24"/>
  <c r="K109" i="41"/>
  <c r="I109" i="41"/>
  <c r="L59" i="41"/>
  <c r="K59" i="41"/>
  <c r="K127" i="41"/>
  <c r="L127" i="41"/>
  <c r="L108" i="40"/>
  <c r="J108" i="40"/>
  <c r="K64" i="24"/>
  <c r="L64" i="24"/>
  <c r="L120" i="24"/>
  <c r="K120" i="24"/>
  <c r="L60" i="40"/>
  <c r="J60" i="40"/>
  <c r="L64" i="20"/>
  <c r="K64" i="20"/>
  <c r="L86" i="20"/>
  <c r="K86" i="20"/>
  <c r="L91" i="20"/>
  <c r="K91" i="20"/>
  <c r="L125" i="20"/>
  <c r="K125" i="20"/>
  <c r="L73" i="24"/>
  <c r="K73" i="24"/>
  <c r="L130" i="40"/>
  <c r="J130" i="40"/>
  <c r="K80" i="24"/>
  <c r="L80" i="24"/>
  <c r="L105" i="24"/>
  <c r="K105" i="24"/>
  <c r="L82" i="41"/>
  <c r="K82" i="41"/>
  <c r="K73" i="10"/>
  <c r="L73" i="10"/>
  <c r="K79" i="10"/>
  <c r="L79" i="10"/>
  <c r="K122" i="10"/>
  <c r="L122" i="10"/>
  <c r="K110" i="10"/>
  <c r="L110" i="10"/>
  <c r="K122" i="20"/>
  <c r="L122" i="20"/>
  <c r="L107" i="40"/>
  <c r="K107" i="40"/>
  <c r="K129" i="24"/>
  <c r="L129" i="24"/>
  <c r="K110" i="24"/>
  <c r="L110" i="24"/>
  <c r="K84" i="20"/>
  <c r="L84" i="20"/>
  <c r="L82" i="24"/>
  <c r="K82" i="24"/>
  <c r="L107" i="24"/>
  <c r="K107" i="24"/>
  <c r="L92" i="40"/>
  <c r="J92" i="40"/>
  <c r="L114" i="24"/>
  <c r="K114" i="24"/>
  <c r="K84" i="40"/>
  <c r="L84" i="40"/>
  <c r="L99" i="40"/>
  <c r="K108" i="40"/>
  <c r="K123" i="20"/>
  <c r="L123" i="20"/>
  <c r="L66" i="20"/>
  <c r="L117" i="40"/>
  <c r="K117" i="40"/>
  <c r="K98" i="24"/>
  <c r="L98" i="24"/>
  <c r="L82" i="40"/>
  <c r="J82" i="40"/>
  <c r="L121" i="24"/>
  <c r="K121" i="24"/>
  <c r="L113" i="41"/>
  <c r="K113" i="41"/>
  <c r="L70" i="41"/>
  <c r="K70" i="41"/>
  <c r="L89" i="10"/>
  <c r="K89" i="10"/>
  <c r="K129" i="10"/>
  <c r="L129" i="10"/>
  <c r="K116" i="10"/>
  <c r="L116" i="10"/>
  <c r="L75" i="40"/>
  <c r="K75" i="40"/>
  <c r="K63" i="20"/>
  <c r="L63" i="20"/>
  <c r="L66" i="24"/>
  <c r="K66" i="24"/>
  <c r="L104" i="41"/>
  <c r="K104" i="41"/>
  <c r="L69" i="24"/>
  <c r="K69" i="24"/>
  <c r="L126" i="20"/>
  <c r="K126" i="20"/>
  <c r="K60" i="40"/>
  <c r="K83" i="40"/>
  <c r="I83" i="40"/>
  <c r="L69" i="40"/>
  <c r="K69" i="40"/>
  <c r="K67" i="40"/>
  <c r="I67" i="40"/>
  <c r="K105" i="20"/>
  <c r="L105" i="20"/>
  <c r="K114" i="20"/>
  <c r="L114" i="20"/>
  <c r="L117" i="20"/>
  <c r="K117" i="20"/>
  <c r="L67" i="40"/>
  <c r="K85" i="20"/>
  <c r="L85" i="20"/>
  <c r="K133" i="41"/>
  <c r="K80" i="40"/>
  <c r="K87" i="41"/>
  <c r="L66" i="40"/>
  <c r="J66" i="40"/>
  <c r="L103" i="24"/>
  <c r="K103" i="24"/>
  <c r="L73" i="40"/>
  <c r="K73" i="40"/>
  <c r="K62" i="10"/>
  <c r="L62" i="10"/>
  <c r="L74" i="10"/>
  <c r="K74" i="10"/>
  <c r="K65" i="10"/>
  <c r="L65" i="10"/>
  <c r="L78" i="10"/>
  <c r="K78" i="10"/>
  <c r="L118" i="10"/>
  <c r="K118" i="10"/>
  <c r="L101" i="10"/>
  <c r="K101" i="10"/>
  <c r="L117" i="10"/>
  <c r="K117" i="10"/>
  <c r="K95" i="41"/>
  <c r="L95" i="41"/>
  <c r="K66" i="20"/>
  <c r="I66" i="20"/>
  <c r="L80" i="20"/>
  <c r="J80" i="20"/>
  <c r="K92" i="24"/>
  <c r="L92" i="24"/>
  <c r="K65" i="41"/>
  <c r="L65" i="41"/>
  <c r="L87" i="24"/>
  <c r="K87" i="24"/>
  <c r="K76" i="24"/>
  <c r="L76" i="24"/>
  <c r="L106" i="40"/>
  <c r="K106" i="40"/>
  <c r="L121" i="40"/>
  <c r="K121" i="40"/>
  <c r="K130" i="40"/>
  <c r="K135" i="20"/>
  <c r="L135" i="20"/>
  <c r="K110" i="41"/>
  <c r="L110" i="41"/>
  <c r="L61" i="40"/>
  <c r="K61" i="40"/>
  <c r="L79" i="41"/>
  <c r="K79" i="41"/>
  <c r="L98" i="40"/>
  <c r="J98" i="40"/>
  <c r="L71" i="24"/>
  <c r="K71" i="24"/>
  <c r="L78" i="20"/>
  <c r="K78" i="20"/>
  <c r="L107" i="20"/>
  <c r="K107" i="20"/>
  <c r="K132" i="20"/>
  <c r="L132" i="20"/>
  <c r="K104" i="20"/>
  <c r="L104" i="20"/>
  <c r="K88" i="41"/>
  <c r="I88" i="41"/>
  <c r="L70" i="10"/>
  <c r="K70" i="10"/>
  <c r="L96" i="10"/>
  <c r="K96" i="10"/>
  <c r="L92" i="10"/>
  <c r="K92" i="10"/>
  <c r="K60" i="10"/>
  <c r="L60" i="10"/>
  <c r="L105" i="10"/>
  <c r="K105" i="10"/>
  <c r="L133" i="10"/>
  <c r="K133" i="10"/>
  <c r="K106" i="41"/>
  <c r="L106" i="41"/>
  <c r="L81" i="20"/>
  <c r="K81" i="20"/>
  <c r="K98" i="41"/>
  <c r="L98" i="41"/>
  <c r="L59" i="20"/>
  <c r="K59" i="20"/>
  <c r="K94" i="24"/>
  <c r="L94" i="24"/>
  <c r="L108" i="20"/>
  <c r="K108" i="20"/>
  <c r="L120" i="20"/>
  <c r="K120" i="20"/>
  <c r="K127" i="20"/>
  <c r="L127" i="20"/>
  <c r="L124" i="40"/>
  <c r="J124" i="40"/>
  <c r="K62" i="41"/>
  <c r="L62" i="41"/>
  <c r="K76" i="41"/>
  <c r="L76" i="41"/>
  <c r="L74" i="40"/>
  <c r="K74" i="40"/>
  <c r="L109" i="20"/>
  <c r="K109" i="20"/>
  <c r="K135" i="41"/>
  <c r="L135" i="41"/>
  <c r="L95" i="40"/>
  <c r="K75" i="41"/>
  <c r="L75" i="41"/>
  <c r="K98" i="20"/>
  <c r="I98" i="20"/>
  <c r="L64" i="40"/>
  <c r="AB107" i="10"/>
  <c r="AK107" i="10" s="1"/>
  <c r="AC107" i="10"/>
  <c r="AL107" i="10" s="1"/>
  <c r="AB115" i="10"/>
  <c r="AK115" i="10" s="1"/>
  <c r="AC115" i="10"/>
  <c r="AL115" i="10" s="1"/>
  <c r="AB127" i="10"/>
  <c r="AK127" i="10" s="1"/>
  <c r="AB109" i="10"/>
  <c r="AK109" i="10" s="1"/>
  <c r="AB128" i="10"/>
  <c r="AK128" i="10" s="1"/>
  <c r="AB124" i="10"/>
  <c r="AK124" i="10" s="1"/>
  <c r="AC131" i="10"/>
  <c r="AL131" i="10" s="1"/>
  <c r="AC112" i="10"/>
  <c r="AL112" i="10" s="1"/>
  <c r="AB119" i="10"/>
  <c r="AK119" i="10" s="1"/>
  <c r="AB114" i="10"/>
  <c r="AK114" i="10" s="1"/>
  <c r="AB132" i="10"/>
  <c r="AK132" i="10" s="1"/>
  <c r="AB111" i="10"/>
  <c r="AK111" i="10" s="1"/>
  <c r="AB125" i="10"/>
  <c r="AK125" i="10" s="1"/>
  <c r="AC110" i="10"/>
  <c r="AL110" i="10" s="1"/>
  <c r="AC122" i="10"/>
  <c r="AL122" i="10" s="1"/>
  <c r="AC114" i="10"/>
  <c r="AL114" i="10" s="1"/>
  <c r="AC109" i="10"/>
  <c r="AL109" i="10" s="1"/>
  <c r="AC128" i="10"/>
  <c r="AL128" i="10" s="1"/>
  <c r="AC119" i="10"/>
  <c r="AL119" i="10" s="1"/>
  <c r="AC133" i="10"/>
  <c r="AL133" i="10" s="1"/>
  <c r="AC125" i="10"/>
  <c r="AL125" i="10" s="1"/>
  <c r="AB118" i="10"/>
  <c r="AK118" i="10" s="1"/>
  <c r="AC118" i="10"/>
  <c r="AL118" i="10" s="1"/>
  <c r="AB112" i="10"/>
  <c r="AK112" i="10" s="1"/>
  <c r="AB110" i="10"/>
  <c r="AK110" i="10" s="1"/>
  <c r="AC116" i="10"/>
  <c r="AL116" i="10" s="1"/>
  <c r="AB116" i="10"/>
  <c r="AK116" i="10" s="1"/>
  <c r="AB131" i="10"/>
  <c r="AK131" i="10" s="1"/>
  <c r="AB135" i="10"/>
  <c r="AK135" i="10" s="1"/>
  <c r="AC127" i="10"/>
  <c r="AL127" i="10" s="1"/>
  <c r="AB133" i="10"/>
  <c r="AK133" i="10" s="1"/>
  <c r="AC124" i="10"/>
  <c r="AL124" i="10" s="1"/>
  <c r="AB117" i="10"/>
  <c r="AK117" i="10" s="1"/>
  <c r="AB134" i="10"/>
  <c r="AK134" i="10" s="1"/>
  <c r="AC117" i="10"/>
  <c r="AL117" i="10" s="1"/>
  <c r="AC132" i="10"/>
  <c r="AL132" i="10" s="1"/>
  <c r="AC111" i="10"/>
  <c r="AL111" i="10" s="1"/>
  <c r="AC134" i="10"/>
  <c r="AL134" i="10" s="1"/>
  <c r="AB126" i="10"/>
  <c r="AK126" i="10" s="1"/>
  <c r="AB122" i="10"/>
  <c r="AK122" i="10" s="1"/>
  <c r="AC120" i="10"/>
  <c r="AL120" i="10" s="1"/>
  <c r="AB130" i="10"/>
  <c r="AK130" i="10" s="1"/>
  <c r="AC126" i="10"/>
  <c r="AL126" i="10" s="1"/>
  <c r="AC130" i="10"/>
  <c r="AL130" i="10" s="1"/>
  <c r="AB123" i="10"/>
  <c r="AK123" i="10" s="1"/>
  <c r="AC123" i="10"/>
  <c r="AL123" i="10" s="1"/>
  <c r="AB120" i="10"/>
  <c r="AK120" i="10" s="1"/>
  <c r="AB129" i="10"/>
  <c r="AK129" i="10" s="1"/>
  <c r="AB121" i="10"/>
  <c r="AK121" i="10" s="1"/>
  <c r="AC135" i="10"/>
  <c r="AL135" i="10" s="1"/>
  <c r="AC121" i="10"/>
  <c r="AL121" i="10" s="1"/>
  <c r="AB113" i="10"/>
  <c r="AK113" i="10" s="1"/>
  <c r="AB108" i="10"/>
  <c r="AK108" i="10" s="1"/>
  <c r="AB106" i="10"/>
  <c r="AK106" i="10" s="1"/>
  <c r="AC129" i="10"/>
  <c r="AL129" i="10" s="1"/>
  <c r="AC113" i="10"/>
  <c r="AL113" i="10" s="1"/>
  <c r="AC108" i="10"/>
  <c r="AL108" i="10" s="1"/>
  <c r="AC106" i="10"/>
  <c r="AL106" i="10" s="1"/>
  <c r="AR11" i="41"/>
  <c r="AQ11" i="41"/>
  <c r="AQ11" i="40"/>
  <c r="AR11" i="40"/>
  <c r="AC59" i="41"/>
  <c r="AP59" i="41" s="1"/>
  <c r="AC59" i="40"/>
  <c r="AP59" i="40" s="1"/>
  <c r="E47" i="9"/>
  <c r="AK4" i="24"/>
  <c r="AM4" i="24" s="1"/>
  <c r="AK5" i="24"/>
  <c r="AK3" i="24"/>
  <c r="AM3" i="24" s="1"/>
  <c r="AL4" i="24"/>
  <c r="AL5" i="24"/>
  <c r="AK8" i="24"/>
  <c r="AL8" i="24"/>
  <c r="AK7" i="24"/>
  <c r="AL3" i="24"/>
  <c r="AL7" i="24"/>
  <c r="AL6" i="24"/>
  <c r="AK6" i="24"/>
  <c r="AQ11" i="24"/>
  <c r="AR11" i="24"/>
  <c r="AC60" i="24"/>
  <c r="AP60" i="24" s="1"/>
  <c r="J115" i="10"/>
  <c r="J94" i="10"/>
  <c r="J100" i="10"/>
  <c r="I104" i="10"/>
  <c r="I102" i="10"/>
  <c r="J85" i="10"/>
  <c r="I103" i="10"/>
  <c r="I95" i="10"/>
  <c r="J106" i="10"/>
  <c r="I99" i="10"/>
  <c r="J104" i="10"/>
  <c r="J102" i="10"/>
  <c r="I114" i="10"/>
  <c r="J103" i="10"/>
  <c r="J95" i="10"/>
  <c r="I85" i="10"/>
  <c r="J99" i="10"/>
  <c r="I111" i="10"/>
  <c r="J114" i="10"/>
  <c r="I115" i="10"/>
  <c r="J120" i="10"/>
  <c r="J111" i="10"/>
  <c r="I123" i="10"/>
  <c r="I120" i="10"/>
  <c r="I93" i="10"/>
  <c r="J123" i="10"/>
  <c r="I109" i="10"/>
  <c r="J112" i="10"/>
  <c r="I118" i="10"/>
  <c r="I90" i="10"/>
  <c r="J93" i="10"/>
  <c r="I97" i="10"/>
  <c r="J109" i="10"/>
  <c r="J116" i="10"/>
  <c r="J118" i="10"/>
  <c r="J90" i="10"/>
  <c r="J97" i="10"/>
  <c r="I116" i="10"/>
  <c r="I110" i="10"/>
  <c r="I92" i="10"/>
  <c r="I89" i="10"/>
  <c r="I112" i="10"/>
  <c r="J110" i="10"/>
  <c r="J92" i="10"/>
  <c r="J89" i="10"/>
  <c r="I91" i="10"/>
  <c r="I87" i="10"/>
  <c r="J117" i="10"/>
  <c r="I106" i="10"/>
  <c r="I121" i="10"/>
  <c r="J91" i="10"/>
  <c r="J87" i="10"/>
  <c r="I100" i="10"/>
  <c r="J121" i="10"/>
  <c r="J86" i="10"/>
  <c r="I108" i="10"/>
  <c r="I84" i="10"/>
  <c r="J108" i="10"/>
  <c r="I96" i="10"/>
  <c r="I94" i="10"/>
  <c r="I122" i="10"/>
  <c r="J84" i="10"/>
  <c r="J96" i="10"/>
  <c r="I119" i="10"/>
  <c r="J122" i="10"/>
  <c r="I107" i="10"/>
  <c r="I98" i="10"/>
  <c r="I86" i="10"/>
  <c r="J124" i="10"/>
  <c r="I113" i="10"/>
  <c r="I88" i="10"/>
  <c r="I105" i="10"/>
  <c r="J101" i="10"/>
  <c r="J119" i="10"/>
  <c r="J107" i="10"/>
  <c r="I101" i="10"/>
  <c r="J98" i="10"/>
  <c r="I124" i="10"/>
  <c r="I117" i="10"/>
  <c r="J113" i="10"/>
  <c r="J88" i="10"/>
  <c r="J105" i="10"/>
  <c r="J135" i="10"/>
  <c r="I135" i="10"/>
  <c r="J65" i="10"/>
  <c r="I73" i="10"/>
  <c r="I68" i="10"/>
  <c r="I125" i="10"/>
  <c r="I70" i="10"/>
  <c r="I67" i="10"/>
  <c r="J68" i="10"/>
  <c r="J70" i="10"/>
  <c r="I71" i="10"/>
  <c r="I76" i="10"/>
  <c r="J67" i="10"/>
  <c r="I132" i="10"/>
  <c r="J71" i="10"/>
  <c r="J76" i="10"/>
  <c r="I61" i="10"/>
  <c r="J132" i="10"/>
  <c r="I78" i="10"/>
  <c r="I69" i="10"/>
  <c r="I77" i="10"/>
  <c r="J61" i="10"/>
  <c r="J78" i="10"/>
  <c r="J69" i="10"/>
  <c r="J77" i="10"/>
  <c r="I79" i="10"/>
  <c r="J125" i="10"/>
  <c r="J79" i="10"/>
  <c r="I129" i="10"/>
  <c r="J66" i="10"/>
  <c r="I75" i="10"/>
  <c r="J128" i="10"/>
  <c r="I80" i="10"/>
  <c r="I127" i="10"/>
  <c r="J129" i="10"/>
  <c r="I63" i="10"/>
  <c r="I82" i="10"/>
  <c r="I128" i="10"/>
  <c r="J75" i="10"/>
  <c r="I131" i="10"/>
  <c r="J80" i="10"/>
  <c r="J127" i="10"/>
  <c r="J63" i="10"/>
  <c r="J82" i="10"/>
  <c r="I66" i="10"/>
  <c r="J131" i="10"/>
  <c r="I62" i="10"/>
  <c r="I72" i="10"/>
  <c r="I74" i="10"/>
  <c r="I126" i="10"/>
  <c r="J81" i="10"/>
  <c r="J72" i="10"/>
  <c r="I134" i="10"/>
  <c r="J74" i="10"/>
  <c r="I133" i="10"/>
  <c r="I59" i="10"/>
  <c r="I64" i="10"/>
  <c r="J126" i="10"/>
  <c r="J134" i="10"/>
  <c r="J133" i="10"/>
  <c r="J59" i="10"/>
  <c r="J64" i="10"/>
  <c r="I65" i="10"/>
  <c r="I81" i="10"/>
  <c r="I83" i="10"/>
  <c r="I130" i="10"/>
  <c r="J62" i="10"/>
  <c r="J83" i="10"/>
  <c r="J130" i="10"/>
  <c r="I60" i="10"/>
  <c r="J73" i="10"/>
  <c r="J60" i="10"/>
  <c r="AE60" i="20"/>
  <c r="AE61" i="20" s="1"/>
  <c r="AE62" i="20" s="1"/>
  <c r="AE63" i="20" s="1"/>
  <c r="AE64" i="20" s="1"/>
  <c r="AE65" i="20" s="1"/>
  <c r="AE66" i="20" s="1"/>
  <c r="AE67" i="20" s="1"/>
  <c r="AE68" i="20" s="1"/>
  <c r="AE69" i="20" s="1"/>
  <c r="AE70" i="20" s="1"/>
  <c r="AE71" i="20" s="1"/>
  <c r="AE72" i="20" s="1"/>
  <c r="AE73" i="20" s="1"/>
  <c r="AE74" i="20" s="1"/>
  <c r="AE75" i="20" s="1"/>
  <c r="AE76" i="20" s="1"/>
  <c r="AE77" i="20" s="1"/>
  <c r="AE78" i="20" s="1"/>
  <c r="AE79" i="20" s="1"/>
  <c r="AE80" i="20" s="1"/>
  <c r="AE81" i="20" s="1"/>
  <c r="AE82" i="20" s="1"/>
  <c r="AE83" i="20" s="1"/>
  <c r="AE84" i="20" s="1"/>
  <c r="AE85" i="20" s="1"/>
  <c r="AE86" i="20" s="1"/>
  <c r="AE87" i="20" s="1"/>
  <c r="AE88" i="20" s="1"/>
  <c r="AE89" i="20" s="1"/>
  <c r="AE90" i="20" s="1"/>
  <c r="AE91" i="20" s="1"/>
  <c r="AE92" i="20" s="1"/>
  <c r="AE93" i="20" s="1"/>
  <c r="AE94" i="20" s="1"/>
  <c r="AE95" i="20" s="1"/>
  <c r="AE96" i="20" s="1"/>
  <c r="AE97" i="20" s="1"/>
  <c r="AE98" i="20" s="1"/>
  <c r="AE99" i="20" s="1"/>
  <c r="AE100" i="20" s="1"/>
  <c r="AE101" i="20" s="1"/>
  <c r="AE102" i="20" s="1"/>
  <c r="AE103" i="20" s="1"/>
  <c r="AE104" i="20" s="1"/>
  <c r="AE105" i="20" s="1"/>
  <c r="AE106" i="20" s="1"/>
  <c r="AE107" i="20" s="1"/>
  <c r="AE108" i="20" s="1"/>
  <c r="AE109" i="20" s="1"/>
  <c r="AE110" i="20" s="1"/>
  <c r="AE111" i="20" s="1"/>
  <c r="AE112" i="20" s="1"/>
  <c r="AE113" i="20" s="1"/>
  <c r="AE114" i="20" s="1"/>
  <c r="AE115" i="20" s="1"/>
  <c r="AE116" i="20" s="1"/>
  <c r="AE117" i="20" s="1"/>
  <c r="AE118" i="20" s="1"/>
  <c r="AE119" i="20" s="1"/>
  <c r="AE120" i="20" s="1"/>
  <c r="AE121" i="20" s="1"/>
  <c r="AE122" i="20" s="1"/>
  <c r="AE123" i="20" s="1"/>
  <c r="AE124" i="20" s="1"/>
  <c r="AE125" i="20" s="1"/>
  <c r="AE126" i="20" s="1"/>
  <c r="AE127" i="20" s="1"/>
  <c r="AE128" i="20" s="1"/>
  <c r="AE129" i="20" s="1"/>
  <c r="AE130" i="20" s="1"/>
  <c r="AE131" i="20" s="1"/>
  <c r="AE132" i="20" s="1"/>
  <c r="AE133" i="20" s="1"/>
  <c r="AE134" i="20" s="1"/>
  <c r="AE135" i="20" s="1"/>
  <c r="D4" i="10"/>
  <c r="F4" i="10" s="1"/>
  <c r="L4" i="10" s="1"/>
  <c r="L3" i="10" s="1"/>
  <c r="G5" i="10"/>
  <c r="M5" i="10" s="1"/>
  <c r="E4" i="10"/>
  <c r="G3" i="10"/>
  <c r="I3" i="10" s="1"/>
  <c r="F3" i="10"/>
  <c r="D135" i="10"/>
  <c r="D131" i="10"/>
  <c r="D127" i="10"/>
  <c r="D123" i="10"/>
  <c r="D119" i="10"/>
  <c r="D115" i="10"/>
  <c r="D111" i="10"/>
  <c r="D134" i="10"/>
  <c r="D130" i="10"/>
  <c r="D126" i="10"/>
  <c r="D122" i="10"/>
  <c r="D118" i="10"/>
  <c r="D114" i="10"/>
  <c r="D133" i="10"/>
  <c r="D129" i="10"/>
  <c r="D124" i="10"/>
  <c r="D113" i="10"/>
  <c r="D108" i="10"/>
  <c r="D112" i="10"/>
  <c r="D107" i="10"/>
  <c r="D103" i="10"/>
  <c r="D99" i="10"/>
  <c r="D95" i="10"/>
  <c r="D91" i="10"/>
  <c r="D87" i="10"/>
  <c r="D83" i="10"/>
  <c r="D128" i="10"/>
  <c r="D116" i="10"/>
  <c r="D110" i="10"/>
  <c r="D106" i="10"/>
  <c r="D102" i="10"/>
  <c r="D121" i="10"/>
  <c r="D109" i="10"/>
  <c r="D105" i="10"/>
  <c r="D101" i="10"/>
  <c r="D97" i="10"/>
  <c r="D93" i="10"/>
  <c r="D89" i="10"/>
  <c r="D85" i="10"/>
  <c r="D81" i="10"/>
  <c r="D86" i="10"/>
  <c r="D77" i="10"/>
  <c r="D73" i="10"/>
  <c r="D69" i="10"/>
  <c r="D65" i="10"/>
  <c r="D117" i="10"/>
  <c r="D125" i="10"/>
  <c r="D90" i="10"/>
  <c r="D49" i="10"/>
  <c r="D80" i="10"/>
  <c r="D76" i="10"/>
  <c r="D72" i="10"/>
  <c r="D68" i="10"/>
  <c r="D64" i="10"/>
  <c r="D60" i="10"/>
  <c r="D48" i="10"/>
  <c r="D94" i="10"/>
  <c r="D84" i="10"/>
  <c r="D46" i="10"/>
  <c r="D98" i="10"/>
  <c r="D79" i="10"/>
  <c r="D75" i="10"/>
  <c r="D71" i="10"/>
  <c r="D67" i="10"/>
  <c r="D100" i="10"/>
  <c r="D88" i="10"/>
  <c r="D132" i="10"/>
  <c r="D120" i="10"/>
  <c r="D104" i="10"/>
  <c r="D92" i="10"/>
  <c r="D78" i="10"/>
  <c r="D74" i="10"/>
  <c r="D70" i="10"/>
  <c r="D66" i="10"/>
  <c r="D62" i="10"/>
  <c r="D55" i="10"/>
  <c r="D54" i="10"/>
  <c r="D82" i="10"/>
  <c r="D61" i="10"/>
  <c r="D40" i="10"/>
  <c r="D39" i="10"/>
  <c r="D27" i="10"/>
  <c r="D50" i="10"/>
  <c r="D38" i="10"/>
  <c r="D26" i="10"/>
  <c r="D57" i="10"/>
  <c r="D52" i="10"/>
  <c r="D37" i="10"/>
  <c r="D25" i="10"/>
  <c r="D19" i="10"/>
  <c r="D41" i="10"/>
  <c r="D36" i="10"/>
  <c r="D24" i="10"/>
  <c r="D17" i="10"/>
  <c r="D47" i="10"/>
  <c r="D35" i="10"/>
  <c r="D23" i="10"/>
  <c r="D16" i="10"/>
  <c r="D42" i="10"/>
  <c r="D59" i="10"/>
  <c r="AD59" i="10" s="1"/>
  <c r="AQ59" i="10" s="1"/>
  <c r="D34" i="10"/>
  <c r="D22" i="10"/>
  <c r="D33" i="10"/>
  <c r="D21" i="10"/>
  <c r="D63" i="10"/>
  <c r="D51" i="10"/>
  <c r="D45" i="10"/>
  <c r="D32" i="10"/>
  <c r="D20" i="10"/>
  <c r="D96" i="10"/>
  <c r="D56" i="10"/>
  <c r="D44" i="10"/>
  <c r="D31" i="10"/>
  <c r="D58" i="10"/>
  <c r="D53" i="10"/>
  <c r="D43" i="10"/>
  <c r="D30" i="10"/>
  <c r="D18" i="10"/>
  <c r="D29" i="10"/>
  <c r="D28" i="10"/>
  <c r="H5" i="10"/>
  <c r="AE3" i="40" l="1"/>
  <c r="AO7" i="41"/>
  <c r="AR8" i="41"/>
  <c r="AP7" i="41"/>
  <c r="AS8" i="41"/>
  <c r="AE3" i="41"/>
  <c r="AS8" i="40"/>
  <c r="AP7" i="40"/>
  <c r="AO7" i="40"/>
  <c r="AR8" i="40"/>
  <c r="P60" i="24"/>
  <c r="AE60" i="10"/>
  <c r="AR59" i="10"/>
  <c r="AC60" i="40"/>
  <c r="AP60" i="40" s="1"/>
  <c r="P60" i="41"/>
  <c r="O60" i="41"/>
  <c r="AB60" i="41"/>
  <c r="AO60" i="41" s="1"/>
  <c r="AC60" i="41"/>
  <c r="AP60" i="41" s="1"/>
  <c r="AB60" i="40"/>
  <c r="AO60" i="40" s="1"/>
  <c r="P59" i="24"/>
  <c r="O59" i="40"/>
  <c r="P59" i="40"/>
  <c r="E48" i="9"/>
  <c r="P60" i="40"/>
  <c r="O60" i="40"/>
  <c r="AM5" i="24"/>
  <c r="AM6" i="24"/>
  <c r="AM7" i="24"/>
  <c r="AM8" i="24"/>
  <c r="AO8" i="24" s="1"/>
  <c r="AR8" i="24" s="1"/>
  <c r="AN3" i="24"/>
  <c r="O60" i="24"/>
  <c r="O59" i="24"/>
  <c r="AB60" i="24"/>
  <c r="AO60" i="24" s="1"/>
  <c r="P59" i="10"/>
  <c r="P60" i="10"/>
  <c r="O59" i="10"/>
  <c r="X59" i="10" s="1"/>
  <c r="AO59" i="10" s="1"/>
  <c r="O60" i="10"/>
  <c r="AC61" i="24"/>
  <c r="AP61" i="24" s="1"/>
  <c r="I5" i="10"/>
  <c r="G4" i="10"/>
  <c r="M4" i="10" s="1"/>
  <c r="M3" i="10" s="1"/>
  <c r="AD60" i="10"/>
  <c r="AQ60" i="10" s="1"/>
  <c r="AD60" i="20"/>
  <c r="H4" i="10"/>
  <c r="H3" i="10"/>
  <c r="AS7" i="41" l="1"/>
  <c r="AP6" i="41"/>
  <c r="AO6" i="41"/>
  <c r="AR7" i="41"/>
  <c r="AO6" i="40"/>
  <c r="AR7" i="40"/>
  <c r="AS7" i="40"/>
  <c r="AP6" i="40"/>
  <c r="O61" i="24"/>
  <c r="AE61" i="10"/>
  <c r="AR60" i="10"/>
  <c r="AO7" i="24"/>
  <c r="O61" i="10"/>
  <c r="P61" i="10"/>
  <c r="AC61" i="40"/>
  <c r="AP61" i="40" s="1"/>
  <c r="AB61" i="40"/>
  <c r="AO61" i="40" s="1"/>
  <c r="AB61" i="41"/>
  <c r="AO61" i="41" s="1"/>
  <c r="AC61" i="41"/>
  <c r="AP61" i="41" s="1"/>
  <c r="P61" i="41"/>
  <c r="O61" i="41"/>
  <c r="E49" i="9"/>
  <c r="P61" i="40"/>
  <c r="O61" i="40"/>
  <c r="P61" i="24"/>
  <c r="AN4" i="24"/>
  <c r="Y59" i="10"/>
  <c r="AP59" i="10" s="1"/>
  <c r="X60" i="10"/>
  <c r="AO60" i="10" s="1"/>
  <c r="AB61" i="24"/>
  <c r="AC62" i="24"/>
  <c r="AP62" i="24" s="1"/>
  <c r="AD61" i="20"/>
  <c r="AD61" i="10"/>
  <c r="AQ61" i="10" s="1"/>
  <c r="I4" i="10"/>
  <c r="AR6" i="41" l="1"/>
  <c r="AO5" i="41"/>
  <c r="AS6" i="41"/>
  <c r="AP5" i="41"/>
  <c r="AS6" i="40"/>
  <c r="AP5" i="40"/>
  <c r="AR6" i="40"/>
  <c r="AO5" i="40"/>
  <c r="AB62" i="24"/>
  <c r="AO62" i="24" s="1"/>
  <c r="AO61" i="24"/>
  <c r="AE62" i="10"/>
  <c r="AR61" i="10"/>
  <c r="AO6" i="24"/>
  <c r="AR7" i="24"/>
  <c r="AC62" i="40"/>
  <c r="AP62" i="40" s="1"/>
  <c r="AB62" i="41"/>
  <c r="AB62" i="40"/>
  <c r="AO62" i="40" s="1"/>
  <c r="P62" i="41"/>
  <c r="O62" i="41"/>
  <c r="AC62" i="41"/>
  <c r="AP62" i="41" s="1"/>
  <c r="E50" i="9"/>
  <c r="P62" i="40"/>
  <c r="O62" i="40"/>
  <c r="O62" i="24"/>
  <c r="P62" i="24"/>
  <c r="P62" i="10"/>
  <c r="O62" i="10"/>
  <c r="AN5" i="24"/>
  <c r="X61" i="10"/>
  <c r="AO61" i="10" s="1"/>
  <c r="Y60" i="10"/>
  <c r="AP60" i="10" s="1"/>
  <c r="AC63" i="24"/>
  <c r="AP63" i="24" s="1"/>
  <c r="AD62" i="20"/>
  <c r="AD63" i="20" s="1"/>
  <c r="AD62" i="10"/>
  <c r="AQ62" i="10" s="1"/>
  <c r="AP4" i="41" l="1"/>
  <c r="AS5" i="41"/>
  <c r="AR5" i="41"/>
  <c r="AO4" i="41"/>
  <c r="AR5" i="40"/>
  <c r="AO4" i="40"/>
  <c r="AS5" i="40"/>
  <c r="AP4" i="40"/>
  <c r="AB63" i="24"/>
  <c r="AO63" i="24" s="1"/>
  <c r="AB63" i="41"/>
  <c r="AO63" i="41" s="1"/>
  <c r="AO62" i="41"/>
  <c r="AE63" i="10"/>
  <c r="AR62" i="10"/>
  <c r="AO5" i="24"/>
  <c r="AR6" i="24"/>
  <c r="AC63" i="40"/>
  <c r="AB63" i="40"/>
  <c r="AO63" i="40" s="1"/>
  <c r="AC63" i="41"/>
  <c r="AP63" i="41" s="1"/>
  <c r="P63" i="41"/>
  <c r="O63" i="41"/>
  <c r="E51" i="9"/>
  <c r="O63" i="40"/>
  <c r="P63" i="40"/>
  <c r="P63" i="24"/>
  <c r="O63" i="24"/>
  <c r="O63" i="10"/>
  <c r="P63" i="10"/>
  <c r="AN6" i="24"/>
  <c r="X62" i="10"/>
  <c r="AO62" i="10" s="1"/>
  <c r="Y61" i="10"/>
  <c r="AP61" i="10" s="1"/>
  <c r="AC64" i="24"/>
  <c r="AP64" i="24" s="1"/>
  <c r="AD63" i="10"/>
  <c r="AQ63" i="10" s="1"/>
  <c r="AD64" i="20"/>
  <c r="AR4" i="41" l="1"/>
  <c r="AO3" i="41"/>
  <c r="AS4" i="41"/>
  <c r="AP3" i="41"/>
  <c r="AS3" i="41" s="1"/>
  <c r="AS4" i="40"/>
  <c r="AP3" i="40"/>
  <c r="AS3" i="40" s="1"/>
  <c r="AR4" i="40"/>
  <c r="AO3" i="40"/>
  <c r="AB64" i="24"/>
  <c r="AO64" i="24" s="1"/>
  <c r="AC64" i="40"/>
  <c r="AP64" i="40" s="1"/>
  <c r="AP63" i="40"/>
  <c r="AB64" i="41"/>
  <c r="AO64" i="41" s="1"/>
  <c r="AE64" i="10"/>
  <c r="AR63" i="10"/>
  <c r="AO4" i="24"/>
  <c r="AR5" i="24"/>
  <c r="AB64" i="40"/>
  <c r="AO64" i="40" s="1"/>
  <c r="O64" i="41"/>
  <c r="P64" i="41"/>
  <c r="AC64" i="41"/>
  <c r="AP64" i="41" s="1"/>
  <c r="E52" i="9"/>
  <c r="P64" i="40"/>
  <c r="O64" i="40"/>
  <c r="O64" i="24"/>
  <c r="P64" i="24"/>
  <c r="O64" i="10"/>
  <c r="P64" i="10"/>
  <c r="AN8" i="24"/>
  <c r="AP8" i="24" s="1"/>
  <c r="AN7" i="24"/>
  <c r="X63" i="10"/>
  <c r="AO63" i="10" s="1"/>
  <c r="Y62" i="10"/>
  <c r="AP62" i="10" s="1"/>
  <c r="AC65" i="24"/>
  <c r="AP65" i="24" s="1"/>
  <c r="AD64" i="10"/>
  <c r="AQ64" i="10" s="1"/>
  <c r="AD65" i="20"/>
  <c r="AS9" i="41" l="1"/>
  <c r="AS9" i="40"/>
  <c r="AO9" i="41"/>
  <c r="AR3" i="41"/>
  <c r="AR9" i="41" s="1"/>
  <c r="AR3" i="40"/>
  <c r="AR9" i="40" s="1"/>
  <c r="AO9" i="40"/>
  <c r="AB65" i="24"/>
  <c r="AO65" i="24" s="1"/>
  <c r="AC65" i="40"/>
  <c r="AP65" i="40" s="1"/>
  <c r="AB65" i="41"/>
  <c r="AO65" i="41" s="1"/>
  <c r="AE65" i="10"/>
  <c r="AR64" i="10"/>
  <c r="AP7" i="24"/>
  <c r="AS8" i="24"/>
  <c r="AO3" i="24"/>
  <c r="AR4" i="24"/>
  <c r="AB65" i="40"/>
  <c r="AO65" i="40" s="1"/>
  <c r="AC65" i="41"/>
  <c r="AP65" i="41" s="1"/>
  <c r="P65" i="41"/>
  <c r="O65" i="41"/>
  <c r="E53" i="9"/>
  <c r="P65" i="40"/>
  <c r="O65" i="40"/>
  <c r="O65" i="24"/>
  <c r="P65" i="24"/>
  <c r="O65" i="10"/>
  <c r="P65" i="10"/>
  <c r="X64" i="10"/>
  <c r="AO64" i="10" s="1"/>
  <c r="Y63" i="10"/>
  <c r="AP63" i="10" s="1"/>
  <c r="AC66" i="24"/>
  <c r="AP66" i="24" s="1"/>
  <c r="AD65" i="10"/>
  <c r="AD66" i="20"/>
  <c r="AB66" i="24" l="1"/>
  <c r="AO66" i="24" s="1"/>
  <c r="AB66" i="41"/>
  <c r="AO66" i="41" s="1"/>
  <c r="AC66" i="40"/>
  <c r="AP66" i="40" s="1"/>
  <c r="AD66" i="10"/>
  <c r="AQ66" i="10" s="1"/>
  <c r="AQ65" i="10"/>
  <c r="AE66" i="10"/>
  <c r="AR65" i="10"/>
  <c r="AO9" i="24"/>
  <c r="AR3" i="24"/>
  <c r="AR9" i="24" s="1"/>
  <c r="AP6" i="24"/>
  <c r="AS7" i="24"/>
  <c r="AB66" i="40"/>
  <c r="AO66" i="40" s="1"/>
  <c r="P66" i="41"/>
  <c r="O66" i="41"/>
  <c r="AC66" i="41"/>
  <c r="AP66" i="41" s="1"/>
  <c r="E54" i="9"/>
  <c r="P66" i="40"/>
  <c r="O66" i="40"/>
  <c r="P66" i="24"/>
  <c r="O66" i="24"/>
  <c r="O66" i="10"/>
  <c r="P66" i="10"/>
  <c r="X65" i="10"/>
  <c r="AO65" i="10" s="1"/>
  <c r="Y64" i="10"/>
  <c r="AP64" i="10" s="1"/>
  <c r="AC67" i="24"/>
  <c r="AP67" i="24" s="1"/>
  <c r="AD67" i="20"/>
  <c r="AB67" i="24" l="1"/>
  <c r="AO67" i="24" s="1"/>
  <c r="AB67" i="41"/>
  <c r="AO67" i="41" s="1"/>
  <c r="AC67" i="40"/>
  <c r="AP67" i="40" s="1"/>
  <c r="AD67" i="10"/>
  <c r="AQ67" i="10" s="1"/>
  <c r="AE67" i="10"/>
  <c r="AR66" i="10"/>
  <c r="AP5" i="24"/>
  <c r="AS6" i="24"/>
  <c r="AB67" i="40"/>
  <c r="AO67" i="40" s="1"/>
  <c r="O67" i="41"/>
  <c r="P67" i="41"/>
  <c r="AC67" i="41"/>
  <c r="AP67" i="41" s="1"/>
  <c r="E55" i="9"/>
  <c r="O67" i="40"/>
  <c r="P67" i="40"/>
  <c r="P67" i="24"/>
  <c r="O67" i="24"/>
  <c r="O67" i="10"/>
  <c r="P67" i="10"/>
  <c r="X66" i="10"/>
  <c r="AO66" i="10" s="1"/>
  <c r="Y65" i="10"/>
  <c r="AP65" i="10" s="1"/>
  <c r="AC68" i="24"/>
  <c r="AP68" i="24" s="1"/>
  <c r="AD68" i="20"/>
  <c r="AB68" i="24" l="1"/>
  <c r="AO68" i="24" s="1"/>
  <c r="AD68" i="10"/>
  <c r="AQ68" i="10" s="1"/>
  <c r="AB68" i="41"/>
  <c r="AO68" i="41" s="1"/>
  <c r="AC68" i="40"/>
  <c r="AP68" i="40" s="1"/>
  <c r="AE68" i="10"/>
  <c r="AR67" i="10"/>
  <c r="AP4" i="24"/>
  <c r="AS5" i="24"/>
  <c r="AB68" i="40"/>
  <c r="AO68" i="40" s="1"/>
  <c r="AC68" i="41"/>
  <c r="AP68" i="41" s="1"/>
  <c r="P68" i="41"/>
  <c r="O68" i="41"/>
  <c r="E56" i="9"/>
  <c r="P68" i="40"/>
  <c r="O68" i="40"/>
  <c r="P68" i="24"/>
  <c r="O68" i="24"/>
  <c r="P68" i="10"/>
  <c r="O68" i="10"/>
  <c r="X67" i="10"/>
  <c r="AO67" i="10" s="1"/>
  <c r="Y66" i="10"/>
  <c r="AP66" i="10" s="1"/>
  <c r="AC69" i="24"/>
  <c r="AP69" i="24" s="1"/>
  <c r="AD69" i="20"/>
  <c r="AB69" i="24" l="1"/>
  <c r="AO69" i="24" s="1"/>
  <c r="AB69" i="41"/>
  <c r="AO69" i="41" s="1"/>
  <c r="AD69" i="10"/>
  <c r="AQ69" i="10" s="1"/>
  <c r="AC69" i="40"/>
  <c r="AP69" i="40" s="1"/>
  <c r="AE69" i="10"/>
  <c r="AR68" i="10"/>
  <c r="AP3" i="24"/>
  <c r="AS3" i="24" s="1"/>
  <c r="AS4" i="24"/>
  <c r="AB69" i="40"/>
  <c r="AO69" i="40" s="1"/>
  <c r="AC69" i="41"/>
  <c r="AP69" i="41" s="1"/>
  <c r="P69" i="41"/>
  <c r="O69" i="41"/>
  <c r="O69" i="40"/>
  <c r="P69" i="40"/>
  <c r="E57" i="9"/>
  <c r="P69" i="24"/>
  <c r="P69" i="10"/>
  <c r="O69" i="24"/>
  <c r="O69" i="10"/>
  <c r="X68" i="10"/>
  <c r="AO68" i="10" s="1"/>
  <c r="Y67" i="10"/>
  <c r="AP67" i="10" s="1"/>
  <c r="AC70" i="24"/>
  <c r="AP70" i="24" s="1"/>
  <c r="AD70" i="20"/>
  <c r="AD70" i="10" l="1"/>
  <c r="AQ70" i="10" s="1"/>
  <c r="AB70" i="41"/>
  <c r="AO70" i="41" s="1"/>
  <c r="AB70" i="24"/>
  <c r="AO70" i="24" s="1"/>
  <c r="AC70" i="40"/>
  <c r="AP70" i="40" s="1"/>
  <c r="AE70" i="10"/>
  <c r="AR69" i="10"/>
  <c r="AS9" i="24"/>
  <c r="AB70" i="40"/>
  <c r="AO70" i="40" s="1"/>
  <c r="P70" i="41"/>
  <c r="O70" i="41"/>
  <c r="AC70" i="41"/>
  <c r="AP70" i="41" s="1"/>
  <c r="E58" i="9"/>
  <c r="P70" i="40"/>
  <c r="O70" i="40"/>
  <c r="P70" i="10"/>
  <c r="P70" i="24"/>
  <c r="O70" i="10"/>
  <c r="O70" i="24"/>
  <c r="X69" i="10"/>
  <c r="AO69" i="10" s="1"/>
  <c r="Y68" i="10"/>
  <c r="AP68" i="10" s="1"/>
  <c r="AC71" i="24"/>
  <c r="AP71" i="24" s="1"/>
  <c r="AD71" i="20"/>
  <c r="AD71" i="10"/>
  <c r="AQ71" i="10" s="1"/>
  <c r="AB71" i="41" l="1"/>
  <c r="AO71" i="41" s="1"/>
  <c r="AB71" i="24"/>
  <c r="AO71" i="24" s="1"/>
  <c r="AC71" i="40"/>
  <c r="AP71" i="40" s="1"/>
  <c r="AE71" i="10"/>
  <c r="AR70" i="10"/>
  <c r="AB71" i="40"/>
  <c r="AO71" i="40" s="1"/>
  <c r="AC71" i="41"/>
  <c r="AP71" i="41" s="1"/>
  <c r="AB72" i="41"/>
  <c r="AO72" i="41" s="1"/>
  <c r="P71" i="41"/>
  <c r="O71" i="41"/>
  <c r="E59" i="9"/>
  <c r="O71" i="40"/>
  <c r="P71" i="40"/>
  <c r="O71" i="24"/>
  <c r="P71" i="10"/>
  <c r="O71" i="10"/>
  <c r="P71" i="24"/>
  <c r="X70" i="10"/>
  <c r="AO70" i="10" s="1"/>
  <c r="Y69" i="10"/>
  <c r="AP69" i="10" s="1"/>
  <c r="AC72" i="24"/>
  <c r="AP72" i="24" s="1"/>
  <c r="AD72" i="10"/>
  <c r="AQ72" i="10" s="1"/>
  <c r="AD72" i="20"/>
  <c r="AB72" i="24" l="1"/>
  <c r="AO72" i="24" s="1"/>
  <c r="AC72" i="40"/>
  <c r="AP72" i="40" s="1"/>
  <c r="AE72" i="10"/>
  <c r="AR71" i="10"/>
  <c r="AB72" i="40"/>
  <c r="AO72" i="40" s="1"/>
  <c r="AB73" i="41"/>
  <c r="AO73" i="41" s="1"/>
  <c r="P72" i="41"/>
  <c r="O72" i="41"/>
  <c r="AC72" i="41"/>
  <c r="AP72" i="41" s="1"/>
  <c r="E60" i="9"/>
  <c r="P72" i="40"/>
  <c r="O72" i="40"/>
  <c r="O72" i="24"/>
  <c r="P72" i="10"/>
  <c r="P72" i="24"/>
  <c r="O72" i="10"/>
  <c r="X71" i="10"/>
  <c r="AO71" i="10" s="1"/>
  <c r="Y70" i="10"/>
  <c r="AP70" i="10" s="1"/>
  <c r="AC73" i="24"/>
  <c r="AP73" i="24" s="1"/>
  <c r="AD73" i="20"/>
  <c r="AD73" i="10"/>
  <c r="AQ73" i="10" s="1"/>
  <c r="AB73" i="24" l="1"/>
  <c r="AO73" i="24" s="1"/>
  <c r="AC73" i="40"/>
  <c r="AP73" i="40" s="1"/>
  <c r="AE73" i="10"/>
  <c r="AR72" i="10"/>
  <c r="AB73" i="40"/>
  <c r="AO73" i="40" s="1"/>
  <c r="AB74" i="41"/>
  <c r="AO74" i="41" s="1"/>
  <c r="O73" i="41"/>
  <c r="P73" i="41"/>
  <c r="AC73" i="41"/>
  <c r="AP73" i="41" s="1"/>
  <c r="E61" i="9"/>
  <c r="P73" i="40"/>
  <c r="O73" i="40"/>
  <c r="O73" i="10"/>
  <c r="P73" i="24"/>
  <c r="P73" i="10"/>
  <c r="O73" i="24"/>
  <c r="X72" i="10"/>
  <c r="AO72" i="10" s="1"/>
  <c r="Y71" i="10"/>
  <c r="AP71" i="10" s="1"/>
  <c r="AC74" i="24"/>
  <c r="AP74" i="24" s="1"/>
  <c r="AD74" i="10"/>
  <c r="AQ74" i="10" s="1"/>
  <c r="AD74" i="20"/>
  <c r="AC74" i="40" l="1"/>
  <c r="AP74" i="40" s="1"/>
  <c r="AB74" i="24"/>
  <c r="AO74" i="24" s="1"/>
  <c r="AE74" i="10"/>
  <c r="AR73" i="10"/>
  <c r="AB74" i="40"/>
  <c r="AO74" i="40" s="1"/>
  <c r="AB75" i="41"/>
  <c r="AO75" i="41" s="1"/>
  <c r="P74" i="41"/>
  <c r="O74" i="41"/>
  <c r="AC74" i="41"/>
  <c r="AP74" i="41" s="1"/>
  <c r="X73" i="10"/>
  <c r="AO73" i="10" s="1"/>
  <c r="E62" i="9"/>
  <c r="O74" i="40"/>
  <c r="P74" i="40"/>
  <c r="P74" i="10"/>
  <c r="O74" i="10"/>
  <c r="O74" i="24"/>
  <c r="P74" i="24"/>
  <c r="Y72" i="10"/>
  <c r="AP72" i="10" s="1"/>
  <c r="AC75" i="24"/>
  <c r="AP75" i="24" s="1"/>
  <c r="AD75" i="20"/>
  <c r="AD75" i="10"/>
  <c r="AQ75" i="10" s="1"/>
  <c r="AC75" i="40" l="1"/>
  <c r="AP75" i="40" s="1"/>
  <c r="AB75" i="24"/>
  <c r="AO75" i="24" s="1"/>
  <c r="AE75" i="10"/>
  <c r="AR74" i="10"/>
  <c r="X74" i="10"/>
  <c r="AO74" i="10" s="1"/>
  <c r="AB75" i="40"/>
  <c r="AO75" i="40" s="1"/>
  <c r="P75" i="41"/>
  <c r="O75" i="41"/>
  <c r="AB76" i="41"/>
  <c r="AO76" i="41" s="1"/>
  <c r="AC75" i="41"/>
  <c r="AP75" i="41" s="1"/>
  <c r="E63" i="9"/>
  <c r="P75" i="40"/>
  <c r="O75" i="40"/>
  <c r="O75" i="10"/>
  <c r="P75" i="24"/>
  <c r="P75" i="10"/>
  <c r="O75" i="24"/>
  <c r="AC76" i="40"/>
  <c r="AP76" i="40" s="1"/>
  <c r="Y73" i="10"/>
  <c r="AP73" i="10" s="1"/>
  <c r="AC76" i="24"/>
  <c r="AP76" i="24" s="1"/>
  <c r="AD76" i="10"/>
  <c r="AQ76" i="10" s="1"/>
  <c r="AD76" i="20"/>
  <c r="AB76" i="24" l="1"/>
  <c r="AO76" i="24" s="1"/>
  <c r="AE76" i="10"/>
  <c r="AR75" i="10"/>
  <c r="X75" i="10"/>
  <c r="AO75" i="10" s="1"/>
  <c r="AB76" i="40"/>
  <c r="AO76" i="40" s="1"/>
  <c r="AB77" i="41"/>
  <c r="AO77" i="41" s="1"/>
  <c r="P76" i="41"/>
  <c r="O76" i="41"/>
  <c r="AC76" i="41"/>
  <c r="AP76" i="41" s="1"/>
  <c r="E64" i="9"/>
  <c r="P76" i="40"/>
  <c r="O76" i="40"/>
  <c r="O76" i="10"/>
  <c r="O76" i="24"/>
  <c r="P76" i="24"/>
  <c r="P76" i="10"/>
  <c r="AC77" i="40"/>
  <c r="AP77" i="40" s="1"/>
  <c r="Y74" i="10"/>
  <c r="AP74" i="10" s="1"/>
  <c r="AC77" i="24"/>
  <c r="AP77" i="24" s="1"/>
  <c r="AD77" i="20"/>
  <c r="AD77" i="10"/>
  <c r="AQ77" i="10" s="1"/>
  <c r="AB77" i="24" l="1"/>
  <c r="AO77" i="24" s="1"/>
  <c r="AE77" i="10"/>
  <c r="AR76" i="10"/>
  <c r="X76" i="10"/>
  <c r="AO76" i="10" s="1"/>
  <c r="AB77" i="40"/>
  <c r="AO77" i="40" s="1"/>
  <c r="P77" i="41"/>
  <c r="O77" i="41"/>
  <c r="AB78" i="41"/>
  <c r="AO78" i="41" s="1"/>
  <c r="AC77" i="41"/>
  <c r="AP77" i="41" s="1"/>
  <c r="E65" i="9"/>
  <c r="O77" i="40"/>
  <c r="P77" i="40"/>
  <c r="O77" i="24"/>
  <c r="P77" i="10"/>
  <c r="O77" i="10"/>
  <c r="P77" i="24"/>
  <c r="AC78" i="40"/>
  <c r="AP78" i="40" s="1"/>
  <c r="Y75" i="10"/>
  <c r="AP75" i="10" s="1"/>
  <c r="AC78" i="24"/>
  <c r="AP78" i="24" s="1"/>
  <c r="AD78" i="10"/>
  <c r="AQ78" i="10" s="1"/>
  <c r="AD78" i="20"/>
  <c r="AB78" i="24" l="1"/>
  <c r="AO78" i="24" s="1"/>
  <c r="X77" i="10"/>
  <c r="AO77" i="10" s="1"/>
  <c r="AE78" i="10"/>
  <c r="AR77" i="10"/>
  <c r="AB78" i="40"/>
  <c r="AO78" i="40" s="1"/>
  <c r="AB79" i="41"/>
  <c r="AO79" i="41" s="1"/>
  <c r="AC78" i="41"/>
  <c r="AP78" i="41" s="1"/>
  <c r="P78" i="41"/>
  <c r="O78" i="41"/>
  <c r="E66" i="9"/>
  <c r="P78" i="40"/>
  <c r="O78" i="40"/>
  <c r="O78" i="24"/>
  <c r="O78" i="10"/>
  <c r="P78" i="24"/>
  <c r="P78" i="10"/>
  <c r="AC79" i="40"/>
  <c r="AP79" i="40" s="1"/>
  <c r="Y76" i="10"/>
  <c r="AP76" i="10" s="1"/>
  <c r="AC79" i="24"/>
  <c r="AP79" i="24" s="1"/>
  <c r="AD79" i="20"/>
  <c r="AD79" i="10"/>
  <c r="AQ79" i="10" s="1"/>
  <c r="X78" i="10" l="1"/>
  <c r="AO78" i="10" s="1"/>
  <c r="AB79" i="24"/>
  <c r="AO79" i="24" s="1"/>
  <c r="AE79" i="10"/>
  <c r="AR78" i="10"/>
  <c r="AB79" i="40"/>
  <c r="AO79" i="40" s="1"/>
  <c r="AC79" i="41"/>
  <c r="AP79" i="41" s="1"/>
  <c r="P79" i="41"/>
  <c r="O79" i="41"/>
  <c r="AB80" i="41"/>
  <c r="AO80" i="41" s="1"/>
  <c r="AC80" i="40"/>
  <c r="AP80" i="40" s="1"/>
  <c r="E67" i="9"/>
  <c r="P79" i="40"/>
  <c r="O79" i="40"/>
  <c r="O79" i="10"/>
  <c r="P79" i="10"/>
  <c r="P79" i="24"/>
  <c r="O79" i="24"/>
  <c r="Y77" i="10"/>
  <c r="AP77" i="10" s="1"/>
  <c r="AC80" i="24"/>
  <c r="AP80" i="24" s="1"/>
  <c r="AD80" i="10"/>
  <c r="AQ80" i="10" s="1"/>
  <c r="AD80" i="20"/>
  <c r="X79" i="10" l="1"/>
  <c r="AO79" i="10" s="1"/>
  <c r="AB80" i="24"/>
  <c r="AO80" i="24" s="1"/>
  <c r="AE80" i="10"/>
  <c r="AR79" i="10"/>
  <c r="AB80" i="40"/>
  <c r="AO80" i="40" s="1"/>
  <c r="AB81" i="41"/>
  <c r="AO81" i="41" s="1"/>
  <c r="AC80" i="41"/>
  <c r="AP80" i="41" s="1"/>
  <c r="O80" i="41"/>
  <c r="P80" i="41"/>
  <c r="AC81" i="40"/>
  <c r="AP81" i="40" s="1"/>
  <c r="E68" i="9"/>
  <c r="P80" i="40"/>
  <c r="O80" i="40"/>
  <c r="O80" i="24"/>
  <c r="O80" i="10"/>
  <c r="X80" i="10" s="1"/>
  <c r="AO80" i="10" s="1"/>
  <c r="P80" i="10"/>
  <c r="P80" i="24"/>
  <c r="Y78" i="10"/>
  <c r="AP78" i="10" s="1"/>
  <c r="AC81" i="24"/>
  <c r="AP81" i="24" s="1"/>
  <c r="AD81" i="20"/>
  <c r="AD81" i="10"/>
  <c r="AQ81" i="10" s="1"/>
  <c r="AB81" i="24" l="1"/>
  <c r="AO81" i="24" s="1"/>
  <c r="AE81" i="10"/>
  <c r="AR80" i="10"/>
  <c r="AB81" i="40"/>
  <c r="AO81" i="40" s="1"/>
  <c r="AC81" i="41"/>
  <c r="AP81" i="41" s="1"/>
  <c r="AB82" i="41"/>
  <c r="AO82" i="41" s="1"/>
  <c r="O81" i="41"/>
  <c r="P81" i="41"/>
  <c r="AC82" i="40"/>
  <c r="AP82" i="40" s="1"/>
  <c r="E69" i="9"/>
  <c r="P81" i="40"/>
  <c r="O81" i="40"/>
  <c r="O81" i="10"/>
  <c r="X81" i="10" s="1"/>
  <c r="AO81" i="10" s="1"/>
  <c r="O81" i="24"/>
  <c r="P81" i="24"/>
  <c r="P81" i="10"/>
  <c r="Y79" i="10"/>
  <c r="AP79" i="10" s="1"/>
  <c r="AC82" i="24"/>
  <c r="AP82" i="24" s="1"/>
  <c r="AD82" i="10"/>
  <c r="AQ82" i="10" s="1"/>
  <c r="AD82" i="20"/>
  <c r="AB82" i="24" l="1"/>
  <c r="AO82" i="24" s="1"/>
  <c r="AE82" i="10"/>
  <c r="AR81" i="10"/>
  <c r="AB82" i="40"/>
  <c r="AO82" i="40" s="1"/>
  <c r="AC82" i="41"/>
  <c r="AP82" i="41" s="1"/>
  <c r="P82" i="41"/>
  <c r="O82" i="41"/>
  <c r="AB83" i="41"/>
  <c r="AO83" i="41" s="1"/>
  <c r="AC83" i="40"/>
  <c r="AP83" i="40" s="1"/>
  <c r="E70" i="9"/>
  <c r="P82" i="40"/>
  <c r="O82" i="40"/>
  <c r="O82" i="24"/>
  <c r="O82" i="10"/>
  <c r="X82" i="10" s="1"/>
  <c r="AO82" i="10" s="1"/>
  <c r="P82" i="24"/>
  <c r="P82" i="10"/>
  <c r="Y80" i="10"/>
  <c r="AP80" i="10" s="1"/>
  <c r="AC83" i="24"/>
  <c r="AP83" i="24" s="1"/>
  <c r="AD83" i="20"/>
  <c r="AD83" i="10"/>
  <c r="AQ83" i="10" s="1"/>
  <c r="AB83" i="24" l="1"/>
  <c r="AO83" i="24" s="1"/>
  <c r="AE83" i="10"/>
  <c r="AR82" i="10"/>
  <c r="AB83" i="40"/>
  <c r="AO83" i="40" s="1"/>
  <c r="AB84" i="41"/>
  <c r="AO84" i="41" s="1"/>
  <c r="AC83" i="41"/>
  <c r="AP83" i="41" s="1"/>
  <c r="O83" i="41"/>
  <c r="P83" i="41"/>
  <c r="AC84" i="40"/>
  <c r="AP84" i="40" s="1"/>
  <c r="E71" i="9"/>
  <c r="O83" i="40"/>
  <c r="P83" i="40"/>
  <c r="P83" i="24"/>
  <c r="P83" i="10"/>
  <c r="O83" i="24"/>
  <c r="O83" i="10"/>
  <c r="X83" i="10" s="1"/>
  <c r="AO83" i="10" s="1"/>
  <c r="Y81" i="10"/>
  <c r="AP81" i="10" s="1"/>
  <c r="AC84" i="24"/>
  <c r="AP84" i="24" s="1"/>
  <c r="AD84" i="10"/>
  <c r="AQ84" i="10" s="1"/>
  <c r="AD84" i="20"/>
  <c r="AB84" i="24" l="1"/>
  <c r="AO84" i="24" s="1"/>
  <c r="AE84" i="10"/>
  <c r="AR83" i="10"/>
  <c r="AB84" i="40"/>
  <c r="AO84" i="40" s="1"/>
  <c r="AC84" i="41"/>
  <c r="AP84" i="41" s="1"/>
  <c r="AB85" i="41"/>
  <c r="AO85" i="41" s="1"/>
  <c r="O84" i="41"/>
  <c r="P84" i="41"/>
  <c r="E72" i="9"/>
  <c r="P84" i="40"/>
  <c r="O84" i="40"/>
  <c r="P84" i="10"/>
  <c r="O84" i="10"/>
  <c r="X84" i="10" s="1"/>
  <c r="AO84" i="10" s="1"/>
  <c r="P84" i="24"/>
  <c r="O84" i="24"/>
  <c r="AC85" i="40"/>
  <c r="AP85" i="40" s="1"/>
  <c r="Y82" i="10"/>
  <c r="AP82" i="10" s="1"/>
  <c r="AC85" i="24"/>
  <c r="AP85" i="24" s="1"/>
  <c r="AD85" i="20"/>
  <c r="AD85" i="10"/>
  <c r="AQ85" i="10" s="1"/>
  <c r="AB85" i="24" l="1"/>
  <c r="AO85" i="24" s="1"/>
  <c r="AE85" i="10"/>
  <c r="AR84" i="10"/>
  <c r="AB85" i="40"/>
  <c r="AO85" i="40" s="1"/>
  <c r="P85" i="41"/>
  <c r="O85" i="41"/>
  <c r="AB86" i="41"/>
  <c r="AO86" i="41" s="1"/>
  <c r="AC85" i="41"/>
  <c r="AP85" i="41" s="1"/>
  <c r="E73" i="9"/>
  <c r="P85" i="40"/>
  <c r="O85" i="40"/>
  <c r="O85" i="10"/>
  <c r="X85" i="10" s="1"/>
  <c r="AO85" i="10" s="1"/>
  <c r="O85" i="24"/>
  <c r="P85" i="24"/>
  <c r="P85" i="10"/>
  <c r="AC86" i="40"/>
  <c r="AP86" i="40" s="1"/>
  <c r="Y83" i="10"/>
  <c r="AP83" i="10" s="1"/>
  <c r="AC86" i="24"/>
  <c r="AP86" i="24" s="1"/>
  <c r="AB86" i="24"/>
  <c r="AO86" i="24" s="1"/>
  <c r="AD86" i="20"/>
  <c r="AD86" i="10"/>
  <c r="AQ86" i="10" s="1"/>
  <c r="AE86" i="10" l="1"/>
  <c r="AR85" i="10"/>
  <c r="AB86" i="40"/>
  <c r="AO86" i="40" s="1"/>
  <c r="O86" i="41"/>
  <c r="P86" i="41"/>
  <c r="AB87" i="41"/>
  <c r="AO87" i="41" s="1"/>
  <c r="AC86" i="41"/>
  <c r="AP86" i="41" s="1"/>
  <c r="E74" i="9"/>
  <c r="P86" i="40"/>
  <c r="O86" i="40"/>
  <c r="O86" i="10"/>
  <c r="X86" i="10" s="1"/>
  <c r="AO86" i="10" s="1"/>
  <c r="P86" i="10"/>
  <c r="P86" i="24"/>
  <c r="O86" i="24"/>
  <c r="AC87" i="40"/>
  <c r="AP87" i="40" s="1"/>
  <c r="Y84" i="10"/>
  <c r="AP84" i="10" s="1"/>
  <c r="AB87" i="24"/>
  <c r="AO87" i="24" s="1"/>
  <c r="AC87" i="24"/>
  <c r="AP87" i="24" s="1"/>
  <c r="AD87" i="10"/>
  <c r="AQ87" i="10" s="1"/>
  <c r="AD87" i="20"/>
  <c r="AE87" i="10" l="1"/>
  <c r="AR86" i="10"/>
  <c r="AB87" i="40"/>
  <c r="AO87" i="40" s="1"/>
  <c r="AC87" i="41"/>
  <c r="AP87" i="41" s="1"/>
  <c r="P87" i="41"/>
  <c r="O87" i="41"/>
  <c r="AB88" i="41"/>
  <c r="AO88" i="41" s="1"/>
  <c r="AC88" i="40"/>
  <c r="AP88" i="40" s="1"/>
  <c r="E75" i="9"/>
  <c r="P87" i="40"/>
  <c r="O87" i="40"/>
  <c r="P87" i="10"/>
  <c r="O87" i="10"/>
  <c r="X87" i="10" s="1"/>
  <c r="AO87" i="10" s="1"/>
  <c r="P87" i="24"/>
  <c r="O87" i="24"/>
  <c r="Y85" i="10"/>
  <c r="AP85" i="10" s="1"/>
  <c r="AC88" i="24"/>
  <c r="AP88" i="24" s="1"/>
  <c r="AB88" i="24"/>
  <c r="AO88" i="24" s="1"/>
  <c r="AD88" i="20"/>
  <c r="AD88" i="10"/>
  <c r="AQ88" i="10" s="1"/>
  <c r="AE88" i="10" l="1"/>
  <c r="AR87" i="10"/>
  <c r="AB88" i="40"/>
  <c r="AO88" i="40" s="1"/>
  <c r="P88" i="41"/>
  <c r="O88" i="41"/>
  <c r="AB89" i="41"/>
  <c r="AO89" i="41" s="1"/>
  <c r="AC88" i="41"/>
  <c r="AP88" i="41" s="1"/>
  <c r="E76" i="9"/>
  <c r="P88" i="40"/>
  <c r="O88" i="40"/>
  <c r="P88" i="10"/>
  <c r="P88" i="24"/>
  <c r="O88" i="24"/>
  <c r="O88" i="10"/>
  <c r="X88" i="10" s="1"/>
  <c r="AO88" i="10" s="1"/>
  <c r="AC89" i="40"/>
  <c r="AP89" i="40" s="1"/>
  <c r="Y86" i="10"/>
  <c r="AP86" i="10" s="1"/>
  <c r="AB89" i="24"/>
  <c r="AO89" i="24" s="1"/>
  <c r="AC89" i="24"/>
  <c r="AP89" i="24" s="1"/>
  <c r="AD89" i="10"/>
  <c r="AQ89" i="10" s="1"/>
  <c r="AD89" i="20"/>
  <c r="AE89" i="10" l="1"/>
  <c r="AR88" i="10"/>
  <c r="AB89" i="40"/>
  <c r="AO89" i="40" s="1"/>
  <c r="AC89" i="41"/>
  <c r="AP89" i="41" s="1"/>
  <c r="P89" i="41"/>
  <c r="O89" i="41"/>
  <c r="AB90" i="41"/>
  <c r="AO90" i="41" s="1"/>
  <c r="E77" i="9"/>
  <c r="P89" i="40"/>
  <c r="O89" i="40"/>
  <c r="P89" i="10"/>
  <c r="O89" i="10"/>
  <c r="X89" i="10" s="1"/>
  <c r="AO89" i="10" s="1"/>
  <c r="P89" i="24"/>
  <c r="O89" i="24"/>
  <c r="AC90" i="40"/>
  <c r="AP90" i="40" s="1"/>
  <c r="Y87" i="10"/>
  <c r="AP87" i="10" s="1"/>
  <c r="AC90" i="24"/>
  <c r="AP90" i="24" s="1"/>
  <c r="AB90" i="24"/>
  <c r="AO90" i="24" s="1"/>
  <c r="AD90" i="10"/>
  <c r="AQ90" i="10" s="1"/>
  <c r="AD90" i="20"/>
  <c r="AE90" i="10" l="1"/>
  <c r="AR89" i="10"/>
  <c r="AB90" i="40"/>
  <c r="AO90" i="40" s="1"/>
  <c r="P90" i="41"/>
  <c r="O90" i="41"/>
  <c r="AC90" i="41"/>
  <c r="AP90" i="41" s="1"/>
  <c r="AB91" i="41"/>
  <c r="AO91" i="41" s="1"/>
  <c r="E78" i="9"/>
  <c r="O90" i="40"/>
  <c r="P90" i="40"/>
  <c r="P90" i="24"/>
  <c r="O90" i="24"/>
  <c r="P90" i="10"/>
  <c r="O90" i="10"/>
  <c r="X90" i="10" s="1"/>
  <c r="AO90" i="10" s="1"/>
  <c r="AC91" i="40"/>
  <c r="AP91" i="40" s="1"/>
  <c r="Y88" i="10"/>
  <c r="AP88" i="10" s="1"/>
  <c r="AB91" i="24"/>
  <c r="AO91" i="24" s="1"/>
  <c r="AC91" i="24"/>
  <c r="AP91" i="24" s="1"/>
  <c r="AD91" i="20"/>
  <c r="AD91" i="10"/>
  <c r="AQ91" i="10" s="1"/>
  <c r="AE91" i="10" l="1"/>
  <c r="AR90" i="10"/>
  <c r="AB91" i="40"/>
  <c r="AO91" i="40" s="1"/>
  <c r="AB92" i="41"/>
  <c r="AO92" i="41" s="1"/>
  <c r="O91" i="41"/>
  <c r="P91" i="41"/>
  <c r="AC91" i="41"/>
  <c r="AP91" i="41" s="1"/>
  <c r="E79" i="9"/>
  <c r="P91" i="40"/>
  <c r="O91" i="40"/>
  <c r="P91" i="10"/>
  <c r="O91" i="24"/>
  <c r="P91" i="24"/>
  <c r="O91" i="10"/>
  <c r="X91" i="10" s="1"/>
  <c r="AO91" i="10" s="1"/>
  <c r="AC92" i="40"/>
  <c r="AP92" i="40" s="1"/>
  <c r="Y89" i="10"/>
  <c r="AP89" i="10" s="1"/>
  <c r="AC92" i="24"/>
  <c r="AP92" i="24" s="1"/>
  <c r="AB92" i="24"/>
  <c r="AO92" i="24" s="1"/>
  <c r="AD92" i="10"/>
  <c r="AQ92" i="10" s="1"/>
  <c r="AD92" i="20"/>
  <c r="AE92" i="10" l="1"/>
  <c r="AR91" i="10"/>
  <c r="AB92" i="40"/>
  <c r="AO92" i="40" s="1"/>
  <c r="O92" i="41"/>
  <c r="P92" i="41"/>
  <c r="AC92" i="41"/>
  <c r="AP92" i="41" s="1"/>
  <c r="AB93" i="41"/>
  <c r="AO93" i="41" s="1"/>
  <c r="E80" i="9"/>
  <c r="P92" i="40"/>
  <c r="O92" i="40"/>
  <c r="O92" i="24"/>
  <c r="O92" i="10"/>
  <c r="X92" i="10" s="1"/>
  <c r="AO92" i="10" s="1"/>
  <c r="P92" i="24"/>
  <c r="P92" i="10"/>
  <c r="AC93" i="40"/>
  <c r="AP93" i="40" s="1"/>
  <c r="Y90" i="10"/>
  <c r="AP90" i="10" s="1"/>
  <c r="AB93" i="24"/>
  <c r="AO93" i="24" s="1"/>
  <c r="AC93" i="24"/>
  <c r="AP93" i="24" s="1"/>
  <c r="AD93" i="20"/>
  <c r="AD93" i="10"/>
  <c r="AQ93" i="10" s="1"/>
  <c r="AE93" i="10" l="1"/>
  <c r="AR92" i="10"/>
  <c r="AB93" i="40"/>
  <c r="AO93" i="40" s="1"/>
  <c r="AB94" i="41"/>
  <c r="AO94" i="41" s="1"/>
  <c r="P93" i="41"/>
  <c r="O93" i="41"/>
  <c r="AC93" i="41"/>
  <c r="AP93" i="41" s="1"/>
  <c r="E81" i="9"/>
  <c r="P93" i="40"/>
  <c r="O93" i="40"/>
  <c r="P93" i="24"/>
  <c r="O93" i="24"/>
  <c r="P93" i="10"/>
  <c r="O93" i="10"/>
  <c r="X93" i="10" s="1"/>
  <c r="AO93" i="10" s="1"/>
  <c r="AC94" i="40"/>
  <c r="AP94" i="40" s="1"/>
  <c r="Y91" i="10"/>
  <c r="AP91" i="10" s="1"/>
  <c r="AC94" i="24"/>
  <c r="AP94" i="24" s="1"/>
  <c r="AB94" i="24"/>
  <c r="AO94" i="24" s="1"/>
  <c r="AD94" i="10"/>
  <c r="AQ94" i="10" s="1"/>
  <c r="AD94" i="20"/>
  <c r="AE94" i="10" l="1"/>
  <c r="AR93" i="10"/>
  <c r="AB94" i="40"/>
  <c r="AO94" i="40" s="1"/>
  <c r="AB95" i="41"/>
  <c r="AO95" i="41" s="1"/>
  <c r="AC94" i="41"/>
  <c r="AP94" i="41" s="1"/>
  <c r="P94" i="41"/>
  <c r="O94" i="41"/>
  <c r="E82" i="9"/>
  <c r="O94" i="40"/>
  <c r="P94" i="40"/>
  <c r="P94" i="24"/>
  <c r="O94" i="10"/>
  <c r="X94" i="10" s="1"/>
  <c r="AO94" i="10" s="1"/>
  <c r="P94" i="10"/>
  <c r="O94" i="24"/>
  <c r="AC95" i="40"/>
  <c r="AP95" i="40" s="1"/>
  <c r="Y92" i="10"/>
  <c r="AP92" i="10" s="1"/>
  <c r="AB95" i="24"/>
  <c r="AO95" i="24" s="1"/>
  <c r="AC95" i="24"/>
  <c r="AP95" i="24" s="1"/>
  <c r="AD95" i="20"/>
  <c r="AD95" i="10"/>
  <c r="AQ95" i="10" s="1"/>
  <c r="AE95" i="10" l="1"/>
  <c r="AR94" i="10"/>
  <c r="AB95" i="40"/>
  <c r="AO95" i="40" s="1"/>
  <c r="P95" i="41"/>
  <c r="O95" i="41"/>
  <c r="AC95" i="41"/>
  <c r="AP95" i="41" s="1"/>
  <c r="AB96" i="41"/>
  <c r="AO96" i="41" s="1"/>
  <c r="E83" i="9"/>
  <c r="P95" i="40"/>
  <c r="O95" i="40"/>
  <c r="P95" i="24"/>
  <c r="O95" i="24"/>
  <c r="O95" i="10"/>
  <c r="X95" i="10" s="1"/>
  <c r="AO95" i="10" s="1"/>
  <c r="P95" i="10"/>
  <c r="AC96" i="40"/>
  <c r="AP96" i="40" s="1"/>
  <c r="Y93" i="10"/>
  <c r="AP93" i="10" s="1"/>
  <c r="AC96" i="24"/>
  <c r="AP96" i="24" s="1"/>
  <c r="AB96" i="24"/>
  <c r="AO96" i="24" s="1"/>
  <c r="AD96" i="10"/>
  <c r="AQ96" i="10" s="1"/>
  <c r="AD96" i="20"/>
  <c r="AE96" i="10" l="1"/>
  <c r="AR95" i="10"/>
  <c r="AB96" i="40"/>
  <c r="AO96" i="40" s="1"/>
  <c r="AB97" i="41"/>
  <c r="AO97" i="41" s="1"/>
  <c r="AC96" i="41"/>
  <c r="AP96" i="41" s="1"/>
  <c r="P96" i="41"/>
  <c r="O96" i="41"/>
  <c r="E84" i="9"/>
  <c r="O96" i="40"/>
  <c r="P96" i="40"/>
  <c r="O96" i="10"/>
  <c r="X96" i="10" s="1"/>
  <c r="AO96" i="10" s="1"/>
  <c r="O96" i="24"/>
  <c r="P96" i="24"/>
  <c r="P96" i="10"/>
  <c r="AC97" i="40"/>
  <c r="AP97" i="40" s="1"/>
  <c r="Y94" i="10"/>
  <c r="AP94" i="10" s="1"/>
  <c r="AB97" i="24"/>
  <c r="AO97" i="24" s="1"/>
  <c r="AC97" i="24"/>
  <c r="AP97" i="24" s="1"/>
  <c r="AD97" i="20"/>
  <c r="AD97" i="10"/>
  <c r="AQ97" i="10" s="1"/>
  <c r="AE97" i="10" l="1"/>
  <c r="AR96" i="10"/>
  <c r="AB97" i="40"/>
  <c r="AO97" i="40" s="1"/>
  <c r="P97" i="41"/>
  <c r="O97" i="41"/>
  <c r="AC97" i="41"/>
  <c r="AP97" i="41" s="1"/>
  <c r="AB98" i="41"/>
  <c r="AO98" i="41" s="1"/>
  <c r="E85" i="9"/>
  <c r="P97" i="40"/>
  <c r="O97" i="40"/>
  <c r="P97" i="10"/>
  <c r="P97" i="24"/>
  <c r="O97" i="24"/>
  <c r="O97" i="10"/>
  <c r="X97" i="10" s="1"/>
  <c r="AO97" i="10" s="1"/>
  <c r="AC98" i="40"/>
  <c r="AP98" i="40" s="1"/>
  <c r="Y95" i="10"/>
  <c r="AP95" i="10" s="1"/>
  <c r="AC98" i="24"/>
  <c r="AP98" i="24" s="1"/>
  <c r="AB98" i="24"/>
  <c r="AO98" i="24" s="1"/>
  <c r="AD98" i="10"/>
  <c r="AQ98" i="10" s="1"/>
  <c r="AD98" i="20"/>
  <c r="AE98" i="10" l="1"/>
  <c r="AR97" i="10"/>
  <c r="AB98" i="40"/>
  <c r="AO98" i="40" s="1"/>
  <c r="P98" i="41"/>
  <c r="O98" i="41"/>
  <c r="AC98" i="41"/>
  <c r="AP98" i="41" s="1"/>
  <c r="AB99" i="41"/>
  <c r="AO99" i="41" s="1"/>
  <c r="AC99" i="40"/>
  <c r="AP99" i="40" s="1"/>
  <c r="E86" i="9"/>
  <c r="O98" i="40"/>
  <c r="P98" i="40"/>
  <c r="P98" i="10"/>
  <c r="P98" i="24"/>
  <c r="O98" i="24"/>
  <c r="O98" i="10"/>
  <c r="X98" i="10" s="1"/>
  <c r="AO98" i="10" s="1"/>
  <c r="Y96" i="10"/>
  <c r="AP96" i="10" s="1"/>
  <c r="AB99" i="24"/>
  <c r="AO99" i="24" s="1"/>
  <c r="AC99" i="24"/>
  <c r="AP99" i="24" s="1"/>
  <c r="AD99" i="20"/>
  <c r="AD99" i="10"/>
  <c r="AQ99" i="10" s="1"/>
  <c r="AE99" i="10" l="1"/>
  <c r="AR98" i="10"/>
  <c r="AB99" i="40"/>
  <c r="AO99" i="40" s="1"/>
  <c r="P99" i="41"/>
  <c r="O99" i="41"/>
  <c r="AC99" i="41"/>
  <c r="AP99" i="41" s="1"/>
  <c r="AB100" i="41"/>
  <c r="AO100" i="41" s="1"/>
  <c r="AC100" i="40"/>
  <c r="AP100" i="40" s="1"/>
  <c r="E87" i="9"/>
  <c r="P99" i="40"/>
  <c r="O99" i="40"/>
  <c r="P99" i="24"/>
  <c r="P99" i="10"/>
  <c r="O99" i="10"/>
  <c r="X99" i="10" s="1"/>
  <c r="AO99" i="10" s="1"/>
  <c r="O99" i="24"/>
  <c r="Y97" i="10"/>
  <c r="AP97" i="10" s="1"/>
  <c r="AC100" i="24"/>
  <c r="AP100" i="24" s="1"/>
  <c r="AB100" i="24"/>
  <c r="AO100" i="24" s="1"/>
  <c r="AD100" i="10"/>
  <c r="AQ100" i="10" s="1"/>
  <c r="AD100" i="20"/>
  <c r="AE100" i="10" l="1"/>
  <c r="AR99" i="10"/>
  <c r="AB100" i="40"/>
  <c r="AO100" i="40" s="1"/>
  <c r="AB101" i="41"/>
  <c r="AO101" i="41" s="1"/>
  <c r="AC100" i="41"/>
  <c r="AP100" i="41" s="1"/>
  <c r="O100" i="41"/>
  <c r="P100" i="41"/>
  <c r="E88" i="9"/>
  <c r="P100" i="40"/>
  <c r="O100" i="40"/>
  <c r="P100" i="24"/>
  <c r="P100" i="10"/>
  <c r="O100" i="10"/>
  <c r="X100" i="10" s="1"/>
  <c r="AO100" i="10" s="1"/>
  <c r="O100" i="24"/>
  <c r="AC101" i="40"/>
  <c r="AP101" i="40" s="1"/>
  <c r="Y98" i="10"/>
  <c r="AP98" i="10" s="1"/>
  <c r="AB101" i="24"/>
  <c r="AO101" i="24" s="1"/>
  <c r="AC101" i="24"/>
  <c r="AP101" i="24" s="1"/>
  <c r="AD101" i="20"/>
  <c r="AD101" i="10"/>
  <c r="AQ101" i="10" s="1"/>
  <c r="AE101" i="10" l="1"/>
  <c r="AR100" i="10"/>
  <c r="AB101" i="40"/>
  <c r="AO101" i="40" s="1"/>
  <c r="AC101" i="41"/>
  <c r="AP101" i="41" s="1"/>
  <c r="P101" i="41"/>
  <c r="O101" i="41"/>
  <c r="AB102" i="41"/>
  <c r="AO102" i="41" s="1"/>
  <c r="E89" i="9"/>
  <c r="P101" i="40"/>
  <c r="O101" i="40"/>
  <c r="O101" i="24"/>
  <c r="O101" i="10"/>
  <c r="X101" i="10" s="1"/>
  <c r="AO101" i="10" s="1"/>
  <c r="P101" i="10"/>
  <c r="P101" i="24"/>
  <c r="AC102" i="40"/>
  <c r="AP102" i="40" s="1"/>
  <c r="Y99" i="10"/>
  <c r="AP99" i="10" s="1"/>
  <c r="AC102" i="24"/>
  <c r="AP102" i="24" s="1"/>
  <c r="AB102" i="24"/>
  <c r="AO102" i="24" s="1"/>
  <c r="AD102" i="10"/>
  <c r="AQ102" i="10" s="1"/>
  <c r="AD102" i="20"/>
  <c r="AE102" i="10" l="1"/>
  <c r="AR101" i="10"/>
  <c r="AB102" i="40"/>
  <c r="AO102" i="40" s="1"/>
  <c r="AC102" i="41"/>
  <c r="AP102" i="41" s="1"/>
  <c r="P102" i="41"/>
  <c r="O102" i="41"/>
  <c r="AB103" i="41"/>
  <c r="AO103" i="41" s="1"/>
  <c r="E90" i="9"/>
  <c r="P102" i="40"/>
  <c r="O102" i="40"/>
  <c r="O102" i="10"/>
  <c r="X102" i="10" s="1"/>
  <c r="AO102" i="10" s="1"/>
  <c r="O102" i="24"/>
  <c r="P102" i="24"/>
  <c r="P102" i="10"/>
  <c r="AC103" i="40"/>
  <c r="AP103" i="40" s="1"/>
  <c r="Y100" i="10"/>
  <c r="AP100" i="10" s="1"/>
  <c r="AC103" i="24"/>
  <c r="AP103" i="24" s="1"/>
  <c r="AB103" i="24"/>
  <c r="AO103" i="24" s="1"/>
  <c r="AD103" i="10"/>
  <c r="AQ103" i="10" s="1"/>
  <c r="AD103" i="20"/>
  <c r="AE103" i="10" l="1"/>
  <c r="AR102" i="10"/>
  <c r="AB103" i="40"/>
  <c r="AO103" i="40" s="1"/>
  <c r="AC103" i="41"/>
  <c r="AP103" i="41" s="1"/>
  <c r="AB104" i="41"/>
  <c r="AO104" i="41" s="1"/>
  <c r="P103" i="41"/>
  <c r="O103" i="41"/>
  <c r="AC104" i="40"/>
  <c r="AP104" i="40" s="1"/>
  <c r="E91" i="9"/>
  <c r="P103" i="40"/>
  <c r="O103" i="40"/>
  <c r="O103" i="24"/>
  <c r="P103" i="10"/>
  <c r="O103" i="10"/>
  <c r="X103" i="10" s="1"/>
  <c r="AO103" i="10" s="1"/>
  <c r="P103" i="24"/>
  <c r="Y101" i="10"/>
  <c r="AP101" i="10" s="1"/>
  <c r="AB104" i="24"/>
  <c r="AO104" i="24" s="1"/>
  <c r="AC104" i="24"/>
  <c r="AP104" i="24" s="1"/>
  <c r="AD104" i="10"/>
  <c r="AQ104" i="10" s="1"/>
  <c r="AD104" i="20"/>
  <c r="AE104" i="10" l="1"/>
  <c r="AR103" i="10"/>
  <c r="AB104" i="40"/>
  <c r="AO104" i="40" s="1"/>
  <c r="AB105" i="41"/>
  <c r="AO105" i="41" s="1"/>
  <c r="O104" i="41"/>
  <c r="P104" i="41"/>
  <c r="AC104" i="41"/>
  <c r="AP104" i="41" s="1"/>
  <c r="E92" i="9"/>
  <c r="O104" i="40"/>
  <c r="P104" i="40"/>
  <c r="P104" i="10"/>
  <c r="P104" i="24"/>
  <c r="O104" i="24"/>
  <c r="O104" i="10"/>
  <c r="X104" i="10" s="1"/>
  <c r="AO104" i="10" s="1"/>
  <c r="AC105" i="40"/>
  <c r="AP105" i="40" s="1"/>
  <c r="Y102" i="10"/>
  <c r="AP102" i="10" s="1"/>
  <c r="AC105" i="24"/>
  <c r="AP105" i="24" s="1"/>
  <c r="AB105" i="24"/>
  <c r="AO105" i="24" s="1"/>
  <c r="AD105" i="20"/>
  <c r="AD105" i="10"/>
  <c r="AQ105" i="10" s="1"/>
  <c r="AE105" i="10" l="1"/>
  <c r="AR104" i="10"/>
  <c r="AB105" i="40"/>
  <c r="AO105" i="40" s="1"/>
  <c r="O105" i="41"/>
  <c r="P105" i="41"/>
  <c r="AC105" i="41"/>
  <c r="AP105" i="41" s="1"/>
  <c r="AB106" i="41"/>
  <c r="AO106" i="41" s="1"/>
  <c r="AC106" i="40"/>
  <c r="AP106" i="40" s="1"/>
  <c r="E93" i="9"/>
  <c r="P105" i="40"/>
  <c r="O105" i="40"/>
  <c r="O105" i="10"/>
  <c r="X105" i="10" s="1"/>
  <c r="AO105" i="10" s="1"/>
  <c r="O105" i="24"/>
  <c r="P105" i="24"/>
  <c r="P105" i="10"/>
  <c r="Y103" i="10"/>
  <c r="AP103" i="10" s="1"/>
  <c r="AB106" i="24"/>
  <c r="AO106" i="24" s="1"/>
  <c r="AC106" i="24"/>
  <c r="AP106" i="24" s="1"/>
  <c r="AD106" i="10"/>
  <c r="AQ106" i="10" s="1"/>
  <c r="AD106" i="20"/>
  <c r="AE106" i="10" l="1"/>
  <c r="AR105" i="10"/>
  <c r="AB106" i="40"/>
  <c r="AO106" i="40" s="1"/>
  <c r="P106" i="41"/>
  <c r="O106" i="41"/>
  <c r="AB107" i="41"/>
  <c r="AO107" i="41" s="1"/>
  <c r="AC106" i="41"/>
  <c r="AP106" i="41" s="1"/>
  <c r="E94" i="9"/>
  <c r="O106" i="40"/>
  <c r="P106" i="40"/>
  <c r="O106" i="24"/>
  <c r="O106" i="10"/>
  <c r="X106" i="10" s="1"/>
  <c r="AO106" i="10" s="1"/>
  <c r="P106" i="10"/>
  <c r="P106" i="24"/>
  <c r="AC107" i="40"/>
  <c r="AP107" i="40" s="1"/>
  <c r="Y104" i="10"/>
  <c r="AP104" i="10" s="1"/>
  <c r="AC107" i="24"/>
  <c r="AP107" i="24" s="1"/>
  <c r="AB107" i="24"/>
  <c r="AO107" i="24" s="1"/>
  <c r="AD107" i="20"/>
  <c r="AD107" i="10"/>
  <c r="AQ107" i="10" s="1"/>
  <c r="AE107" i="10" l="1"/>
  <c r="AR106" i="10"/>
  <c r="AB107" i="40"/>
  <c r="AO107" i="40" s="1"/>
  <c r="O107" i="41"/>
  <c r="P107" i="41"/>
  <c r="AB108" i="41"/>
  <c r="AO108" i="41" s="1"/>
  <c r="AC107" i="41"/>
  <c r="AP107" i="41" s="1"/>
  <c r="AC108" i="40"/>
  <c r="AP108" i="40" s="1"/>
  <c r="E95" i="9"/>
  <c r="O107" i="40"/>
  <c r="P107" i="40"/>
  <c r="O107" i="24"/>
  <c r="O107" i="10"/>
  <c r="X107" i="10" s="1"/>
  <c r="AO107" i="10" s="1"/>
  <c r="P107" i="10"/>
  <c r="P107" i="24"/>
  <c r="Y105" i="10"/>
  <c r="AP105" i="10" s="1"/>
  <c r="AB108" i="24"/>
  <c r="AO108" i="24" s="1"/>
  <c r="AC108" i="24"/>
  <c r="AP108" i="24" s="1"/>
  <c r="AD108" i="20"/>
  <c r="AD108" i="10"/>
  <c r="AQ108" i="10" s="1"/>
  <c r="AE108" i="10" l="1"/>
  <c r="AR107" i="10"/>
  <c r="AB108" i="40"/>
  <c r="AO108" i="40" s="1"/>
  <c r="AB109" i="41"/>
  <c r="AO109" i="41" s="1"/>
  <c r="P108" i="41"/>
  <c r="O108" i="41"/>
  <c r="AC108" i="41"/>
  <c r="AP108" i="41" s="1"/>
  <c r="AC109" i="40"/>
  <c r="AP109" i="40" s="1"/>
  <c r="E96" i="9"/>
  <c r="P108" i="40"/>
  <c r="O108" i="40"/>
  <c r="O108" i="10"/>
  <c r="X108" i="10" s="1"/>
  <c r="AO108" i="10" s="1"/>
  <c r="P108" i="10"/>
  <c r="O108" i="24"/>
  <c r="P108" i="24"/>
  <c r="Y106" i="10"/>
  <c r="AP106" i="10" s="1"/>
  <c r="AC109" i="24"/>
  <c r="AP109" i="24" s="1"/>
  <c r="AB109" i="24"/>
  <c r="AO109" i="24" s="1"/>
  <c r="AD109" i="10"/>
  <c r="AQ109" i="10" s="1"/>
  <c r="AD109" i="20"/>
  <c r="AE109" i="10" l="1"/>
  <c r="AR108" i="10"/>
  <c r="AB109" i="40"/>
  <c r="AO109" i="40" s="1"/>
  <c r="O109" i="41"/>
  <c r="P109" i="41"/>
  <c r="AC109" i="41"/>
  <c r="AP109" i="41" s="1"/>
  <c r="AB110" i="41"/>
  <c r="AO110" i="41" s="1"/>
  <c r="E97" i="9"/>
  <c r="O109" i="40"/>
  <c r="P109" i="40"/>
  <c r="P109" i="24"/>
  <c r="O109" i="24"/>
  <c r="O109" i="10"/>
  <c r="X109" i="10" s="1"/>
  <c r="AO109" i="10" s="1"/>
  <c r="P109" i="10"/>
  <c r="AC110" i="40"/>
  <c r="AP110" i="40" s="1"/>
  <c r="Y107" i="10"/>
  <c r="AP107" i="10" s="1"/>
  <c r="AB110" i="24"/>
  <c r="AO110" i="24" s="1"/>
  <c r="AC110" i="24"/>
  <c r="AP110" i="24" s="1"/>
  <c r="AD110" i="20"/>
  <c r="AD110" i="10"/>
  <c r="AQ110" i="10" s="1"/>
  <c r="AE110" i="10" l="1"/>
  <c r="AR109" i="10"/>
  <c r="AB110" i="40"/>
  <c r="AO110" i="40" s="1"/>
  <c r="AC110" i="41"/>
  <c r="AP110" i="41" s="1"/>
  <c r="P110" i="41"/>
  <c r="O110" i="41"/>
  <c r="AB111" i="41"/>
  <c r="AO111" i="41" s="1"/>
  <c r="AC111" i="40"/>
  <c r="AP111" i="40" s="1"/>
  <c r="E98" i="9"/>
  <c r="P110" i="40"/>
  <c r="O110" i="40"/>
  <c r="P110" i="24"/>
  <c r="P110" i="10"/>
  <c r="O110" i="24"/>
  <c r="O110" i="10"/>
  <c r="X110" i="10" s="1"/>
  <c r="AO110" i="10" s="1"/>
  <c r="Y108" i="10"/>
  <c r="AP108" i="10" s="1"/>
  <c r="AC111" i="24"/>
  <c r="AP111" i="24" s="1"/>
  <c r="AB111" i="24"/>
  <c r="AO111" i="24" s="1"/>
  <c r="AD111" i="10"/>
  <c r="AQ111" i="10" s="1"/>
  <c r="AD111" i="20"/>
  <c r="AE111" i="10" l="1"/>
  <c r="AR110" i="10"/>
  <c r="AB111" i="40"/>
  <c r="AO111" i="40" s="1"/>
  <c r="AB112" i="41"/>
  <c r="AO112" i="41" s="1"/>
  <c r="AC111" i="41"/>
  <c r="AP111" i="41" s="1"/>
  <c r="P111" i="41"/>
  <c r="O111" i="41"/>
  <c r="E99" i="9"/>
  <c r="O111" i="40"/>
  <c r="P111" i="40"/>
  <c r="P111" i="10"/>
  <c r="O111" i="24"/>
  <c r="P111" i="24"/>
  <c r="O111" i="10"/>
  <c r="X111" i="10" s="1"/>
  <c r="AO111" i="10" s="1"/>
  <c r="AC112" i="40"/>
  <c r="AP112" i="40" s="1"/>
  <c r="Y109" i="10"/>
  <c r="AP109" i="10" s="1"/>
  <c r="AB112" i="24"/>
  <c r="AO112" i="24" s="1"/>
  <c r="AC112" i="24"/>
  <c r="AP112" i="24" s="1"/>
  <c r="AD112" i="20"/>
  <c r="AD112" i="10"/>
  <c r="AQ112" i="10" s="1"/>
  <c r="AE112" i="10" l="1"/>
  <c r="AR111" i="10"/>
  <c r="AB112" i="40"/>
  <c r="AO112" i="40" s="1"/>
  <c r="P112" i="41"/>
  <c r="O112" i="41"/>
  <c r="AB113" i="41"/>
  <c r="AO113" i="41" s="1"/>
  <c r="AC112" i="41"/>
  <c r="AP112" i="41" s="1"/>
  <c r="AC113" i="40"/>
  <c r="AP113" i="40" s="1"/>
  <c r="E100" i="9"/>
  <c r="P112" i="40"/>
  <c r="O112" i="40"/>
  <c r="P112" i="24"/>
  <c r="O112" i="10"/>
  <c r="X112" i="10" s="1"/>
  <c r="AO112" i="10" s="1"/>
  <c r="P112" i="10"/>
  <c r="O112" i="24"/>
  <c r="Y110" i="10"/>
  <c r="AP110" i="10" s="1"/>
  <c r="AC113" i="24"/>
  <c r="AP113" i="24" s="1"/>
  <c r="AB113" i="24"/>
  <c r="AO113" i="24" s="1"/>
  <c r="AD113" i="10"/>
  <c r="AQ113" i="10" s="1"/>
  <c r="AD113" i="20"/>
  <c r="AE113" i="10" l="1"/>
  <c r="AR112" i="10"/>
  <c r="AB113" i="40"/>
  <c r="AO113" i="40" s="1"/>
  <c r="AB114" i="41"/>
  <c r="AO114" i="41" s="1"/>
  <c r="AC113" i="41"/>
  <c r="AP113" i="41" s="1"/>
  <c r="P113" i="41"/>
  <c r="O113" i="41"/>
  <c r="E101" i="9"/>
  <c r="P113" i="40"/>
  <c r="O113" i="40"/>
  <c r="P113" i="10"/>
  <c r="O113" i="24"/>
  <c r="P113" i="24"/>
  <c r="O113" i="10"/>
  <c r="X113" i="10" s="1"/>
  <c r="AO113" i="10" s="1"/>
  <c r="AC114" i="40"/>
  <c r="AP114" i="40" s="1"/>
  <c r="Y111" i="10"/>
  <c r="AP111" i="10" s="1"/>
  <c r="AB114" i="24"/>
  <c r="AO114" i="24" s="1"/>
  <c r="AC114" i="24"/>
  <c r="AP114" i="24" s="1"/>
  <c r="AD114" i="20"/>
  <c r="AD114" i="10"/>
  <c r="AQ114" i="10" s="1"/>
  <c r="AE114" i="10" l="1"/>
  <c r="AR113" i="10"/>
  <c r="AB114" i="40"/>
  <c r="AO114" i="40" s="1"/>
  <c r="P114" i="41"/>
  <c r="O114" i="41"/>
  <c r="AC114" i="41"/>
  <c r="AP114" i="41" s="1"/>
  <c r="AB115" i="41"/>
  <c r="AO115" i="41" s="1"/>
  <c r="E102" i="9"/>
  <c r="P114" i="40"/>
  <c r="O114" i="40"/>
  <c r="P114" i="10"/>
  <c r="O114" i="24"/>
  <c r="O114" i="10"/>
  <c r="X114" i="10" s="1"/>
  <c r="AO114" i="10" s="1"/>
  <c r="P114" i="24"/>
  <c r="AC115" i="40"/>
  <c r="AP115" i="40" s="1"/>
  <c r="Y112" i="10"/>
  <c r="AP112" i="10" s="1"/>
  <c r="AC115" i="24"/>
  <c r="AP115" i="24" s="1"/>
  <c r="AB115" i="24"/>
  <c r="AO115" i="24" s="1"/>
  <c r="AD115" i="10"/>
  <c r="AQ115" i="10" s="1"/>
  <c r="AD115" i="20"/>
  <c r="AE115" i="10" l="1"/>
  <c r="AR114" i="10"/>
  <c r="AB115" i="40"/>
  <c r="AO115" i="40" s="1"/>
  <c r="AC115" i="41"/>
  <c r="AP115" i="41" s="1"/>
  <c r="AB116" i="41"/>
  <c r="AO116" i="41" s="1"/>
  <c r="P115" i="41"/>
  <c r="O115" i="41"/>
  <c r="AC116" i="40"/>
  <c r="AP116" i="40" s="1"/>
  <c r="E103" i="9"/>
  <c r="P115" i="40"/>
  <c r="O115" i="40"/>
  <c r="P115" i="24"/>
  <c r="O115" i="24"/>
  <c r="P115" i="10"/>
  <c r="O115" i="10"/>
  <c r="Y113" i="10"/>
  <c r="AP113" i="10" s="1"/>
  <c r="AB116" i="24"/>
  <c r="AO116" i="24" s="1"/>
  <c r="AC116" i="24"/>
  <c r="AP116" i="24" s="1"/>
  <c r="X115" i="10"/>
  <c r="AO115" i="10" s="1"/>
  <c r="AD116" i="20"/>
  <c r="AD116" i="10"/>
  <c r="AQ116" i="10" s="1"/>
  <c r="AE116" i="10" l="1"/>
  <c r="AR115" i="10"/>
  <c r="AB116" i="40"/>
  <c r="AO116" i="40" s="1"/>
  <c r="AB117" i="41"/>
  <c r="AO117" i="41" s="1"/>
  <c r="O116" i="41"/>
  <c r="P116" i="41"/>
  <c r="AC116" i="41"/>
  <c r="AP116" i="41" s="1"/>
  <c r="E104" i="9"/>
  <c r="O116" i="40"/>
  <c r="P116" i="40"/>
  <c r="P116" i="24"/>
  <c r="P116" i="10"/>
  <c r="O116" i="10"/>
  <c r="X116" i="10" s="1"/>
  <c r="AO116" i="10" s="1"/>
  <c r="O116" i="24"/>
  <c r="AC117" i="40"/>
  <c r="AP117" i="40" s="1"/>
  <c r="Y114" i="10"/>
  <c r="AP114" i="10" s="1"/>
  <c r="AC117" i="24"/>
  <c r="AP117" i="24" s="1"/>
  <c r="AB117" i="24"/>
  <c r="AO117" i="24" s="1"/>
  <c r="AD117" i="10"/>
  <c r="AQ117" i="10" s="1"/>
  <c r="AD117" i="20"/>
  <c r="AE117" i="10" l="1"/>
  <c r="AR116" i="10"/>
  <c r="AB117" i="40"/>
  <c r="AO117" i="40" s="1"/>
  <c r="AC117" i="41"/>
  <c r="AP117" i="41" s="1"/>
  <c r="P117" i="41"/>
  <c r="O117" i="41"/>
  <c r="AB118" i="41"/>
  <c r="AO118" i="41" s="1"/>
  <c r="E105" i="9"/>
  <c r="P117" i="40"/>
  <c r="O117" i="40"/>
  <c r="O117" i="10"/>
  <c r="X117" i="10" s="1"/>
  <c r="AO117" i="10" s="1"/>
  <c r="O117" i="24"/>
  <c r="P117" i="24"/>
  <c r="P117" i="10"/>
  <c r="AC118" i="40"/>
  <c r="AP118" i="40" s="1"/>
  <c r="Y115" i="10"/>
  <c r="AP115" i="10" s="1"/>
  <c r="AB118" i="24"/>
  <c r="AO118" i="24" s="1"/>
  <c r="AC118" i="24"/>
  <c r="AP118" i="24" s="1"/>
  <c r="AD118" i="20"/>
  <c r="AD118" i="10"/>
  <c r="AQ118" i="10" s="1"/>
  <c r="AE118" i="10" l="1"/>
  <c r="AR117" i="10"/>
  <c r="AB118" i="40"/>
  <c r="AO118" i="40" s="1"/>
  <c r="AC118" i="41"/>
  <c r="AP118" i="41" s="1"/>
  <c r="AB119" i="41"/>
  <c r="AO119" i="41" s="1"/>
  <c r="O118" i="41"/>
  <c r="P118" i="41"/>
  <c r="E106" i="9"/>
  <c r="P118" i="40"/>
  <c r="O118" i="40"/>
  <c r="P118" i="24"/>
  <c r="O118" i="24"/>
  <c r="P118" i="10"/>
  <c r="O118" i="10"/>
  <c r="X118" i="10" s="1"/>
  <c r="AO118" i="10" s="1"/>
  <c r="AC119" i="40"/>
  <c r="AP119" i="40" s="1"/>
  <c r="Y116" i="10"/>
  <c r="AP116" i="10" s="1"/>
  <c r="AC119" i="24"/>
  <c r="AP119" i="24" s="1"/>
  <c r="AB119" i="24"/>
  <c r="AO119" i="24" s="1"/>
  <c r="AD119" i="10"/>
  <c r="AQ119" i="10" s="1"/>
  <c r="AD119" i="20"/>
  <c r="AE119" i="10" l="1"/>
  <c r="AR118" i="10"/>
  <c r="AB119" i="40"/>
  <c r="AO119" i="40" s="1"/>
  <c r="AB120" i="41"/>
  <c r="AO120" i="41" s="1"/>
  <c r="AC119" i="41"/>
  <c r="AP119" i="41" s="1"/>
  <c r="P119" i="41"/>
  <c r="O119" i="41"/>
  <c r="AC120" i="40"/>
  <c r="AP120" i="40" s="1"/>
  <c r="E107" i="9"/>
  <c r="P119" i="40"/>
  <c r="O119" i="40"/>
  <c r="P119" i="10"/>
  <c r="P119" i="24"/>
  <c r="O119" i="10"/>
  <c r="X119" i="10" s="1"/>
  <c r="AO119" i="10" s="1"/>
  <c r="O119" i="24"/>
  <c r="Y117" i="10"/>
  <c r="AP117" i="10" s="1"/>
  <c r="AB120" i="24"/>
  <c r="AO120" i="24" s="1"/>
  <c r="AC120" i="24"/>
  <c r="AP120" i="24" s="1"/>
  <c r="AD120" i="20"/>
  <c r="AD120" i="10"/>
  <c r="AQ120" i="10" s="1"/>
  <c r="AE120" i="10" l="1"/>
  <c r="AR119" i="10"/>
  <c r="AB120" i="40"/>
  <c r="AO120" i="40" s="1"/>
  <c r="AC120" i="41"/>
  <c r="AP120" i="41" s="1"/>
  <c r="AB121" i="41"/>
  <c r="AO121" i="41" s="1"/>
  <c r="P120" i="41"/>
  <c r="O120" i="41"/>
  <c r="AC121" i="40"/>
  <c r="AP121" i="40" s="1"/>
  <c r="E108" i="9"/>
  <c r="P120" i="40"/>
  <c r="O120" i="40"/>
  <c r="P120" i="24"/>
  <c r="P120" i="10"/>
  <c r="O120" i="10"/>
  <c r="X120" i="10" s="1"/>
  <c r="AO120" i="10" s="1"/>
  <c r="O120" i="24"/>
  <c r="Y118" i="10"/>
  <c r="AP118" i="10" s="1"/>
  <c r="AC121" i="24"/>
  <c r="AP121" i="24" s="1"/>
  <c r="AB121" i="24"/>
  <c r="AO121" i="24" s="1"/>
  <c r="AD121" i="10"/>
  <c r="AQ121" i="10" s="1"/>
  <c r="AD121" i="20"/>
  <c r="AE121" i="10" l="1"/>
  <c r="AR120" i="10"/>
  <c r="AB121" i="40"/>
  <c r="AO121" i="40" s="1"/>
  <c r="AC121" i="41"/>
  <c r="AP121" i="41" s="1"/>
  <c r="P121" i="41"/>
  <c r="O121" i="41"/>
  <c r="AB122" i="41"/>
  <c r="AO122" i="41" s="1"/>
  <c r="E109" i="9"/>
  <c r="P121" i="40"/>
  <c r="O121" i="40"/>
  <c r="P121" i="24"/>
  <c r="O121" i="24"/>
  <c r="O121" i="10"/>
  <c r="X121" i="10" s="1"/>
  <c r="AO121" i="10" s="1"/>
  <c r="P121" i="10"/>
  <c r="AC122" i="40"/>
  <c r="AP122" i="40" s="1"/>
  <c r="Y119" i="10"/>
  <c r="AP119" i="10" s="1"/>
  <c r="AB122" i="24"/>
  <c r="AO122" i="24" s="1"/>
  <c r="AC122" i="24"/>
  <c r="AP122" i="24" s="1"/>
  <c r="AD122" i="20"/>
  <c r="AD122" i="10"/>
  <c r="AQ122" i="10" s="1"/>
  <c r="AE122" i="10" l="1"/>
  <c r="AR121" i="10"/>
  <c r="AB122" i="40"/>
  <c r="AO122" i="40" s="1"/>
  <c r="P122" i="41"/>
  <c r="O122" i="41"/>
  <c r="AB123" i="41"/>
  <c r="AO123" i="41" s="1"/>
  <c r="AC122" i="41"/>
  <c r="AP122" i="41" s="1"/>
  <c r="E110" i="9"/>
  <c r="P122" i="40"/>
  <c r="O122" i="40"/>
  <c r="P122" i="10"/>
  <c r="O122" i="10"/>
  <c r="X122" i="10" s="1"/>
  <c r="AO122" i="10" s="1"/>
  <c r="O122" i="24"/>
  <c r="P122" i="24"/>
  <c r="AC123" i="40"/>
  <c r="AP123" i="40" s="1"/>
  <c r="Y120" i="10"/>
  <c r="AP120" i="10" s="1"/>
  <c r="AC123" i="24"/>
  <c r="AP123" i="24" s="1"/>
  <c r="AB123" i="24"/>
  <c r="AO123" i="24" s="1"/>
  <c r="AD123" i="10"/>
  <c r="AQ123" i="10" s="1"/>
  <c r="AD123" i="20"/>
  <c r="AE123" i="10" l="1"/>
  <c r="AR122" i="10"/>
  <c r="AB123" i="40"/>
  <c r="AO123" i="40" s="1"/>
  <c r="O123" i="41"/>
  <c r="P123" i="41"/>
  <c r="AC123" i="41"/>
  <c r="AP123" i="41" s="1"/>
  <c r="AB124" i="41"/>
  <c r="AO124" i="41" s="1"/>
  <c r="E111" i="9"/>
  <c r="O123" i="40"/>
  <c r="P123" i="40"/>
  <c r="O123" i="24"/>
  <c r="P123" i="10"/>
  <c r="O123" i="10"/>
  <c r="X123" i="10" s="1"/>
  <c r="AO123" i="10" s="1"/>
  <c r="P123" i="24"/>
  <c r="AC124" i="40"/>
  <c r="AP124" i="40" s="1"/>
  <c r="Y121" i="10"/>
  <c r="AP121" i="10" s="1"/>
  <c r="AB124" i="24"/>
  <c r="AO124" i="24" s="1"/>
  <c r="AC124" i="24"/>
  <c r="AP124" i="24" s="1"/>
  <c r="AD124" i="20"/>
  <c r="AD124" i="10"/>
  <c r="AQ124" i="10" s="1"/>
  <c r="AE124" i="10" l="1"/>
  <c r="AR123" i="10"/>
  <c r="AB124" i="40"/>
  <c r="AO124" i="40" s="1"/>
  <c r="AC124" i="41"/>
  <c r="AP124" i="41" s="1"/>
  <c r="P124" i="41"/>
  <c r="O124" i="41"/>
  <c r="AB125" i="41"/>
  <c r="AO125" i="41" s="1"/>
  <c r="AC125" i="40"/>
  <c r="AP125" i="40" s="1"/>
  <c r="E112" i="9"/>
  <c r="P124" i="40"/>
  <c r="O124" i="40"/>
  <c r="P124" i="10"/>
  <c r="O124" i="10"/>
  <c r="X124" i="10" s="1"/>
  <c r="AO124" i="10" s="1"/>
  <c r="P124" i="24"/>
  <c r="O124" i="24"/>
  <c r="Y122" i="10"/>
  <c r="AP122" i="10" s="1"/>
  <c r="AC125" i="24"/>
  <c r="AP125" i="24" s="1"/>
  <c r="AB125" i="24"/>
  <c r="AO125" i="24" s="1"/>
  <c r="AD125" i="10"/>
  <c r="AQ125" i="10" s="1"/>
  <c r="AD125" i="20"/>
  <c r="AE125" i="10" l="1"/>
  <c r="AR124" i="10"/>
  <c r="AB125" i="40"/>
  <c r="AO125" i="40" s="1"/>
  <c r="AB126" i="41"/>
  <c r="AO126" i="41" s="1"/>
  <c r="AC125" i="41"/>
  <c r="AP125" i="41" s="1"/>
  <c r="O125" i="41"/>
  <c r="P125" i="41"/>
  <c r="E113" i="9"/>
  <c r="O125" i="40"/>
  <c r="P125" i="40"/>
  <c r="P125" i="24"/>
  <c r="O125" i="10"/>
  <c r="X125" i="10" s="1"/>
  <c r="AO125" i="10" s="1"/>
  <c r="P125" i="10"/>
  <c r="O125" i="24"/>
  <c r="AC126" i="40"/>
  <c r="AP126" i="40" s="1"/>
  <c r="Y123" i="10"/>
  <c r="AP123" i="10" s="1"/>
  <c r="AB126" i="24"/>
  <c r="AO126" i="24" s="1"/>
  <c r="AC126" i="24"/>
  <c r="AP126" i="24" s="1"/>
  <c r="AD126" i="20"/>
  <c r="AD126" i="10"/>
  <c r="AQ126" i="10" s="1"/>
  <c r="AE126" i="10" l="1"/>
  <c r="AR125" i="10"/>
  <c r="AB126" i="40"/>
  <c r="AO126" i="40" s="1"/>
  <c r="AB127" i="41"/>
  <c r="AO127" i="41" s="1"/>
  <c r="P126" i="41"/>
  <c r="O126" i="41"/>
  <c r="AC126" i="41"/>
  <c r="AP126" i="41" s="1"/>
  <c r="E114" i="9"/>
  <c r="O126" i="40"/>
  <c r="P126" i="40"/>
  <c r="P126" i="10"/>
  <c r="O126" i="24"/>
  <c r="P126" i="24"/>
  <c r="O126" i="10"/>
  <c r="X126" i="10" s="1"/>
  <c r="AO126" i="10" s="1"/>
  <c r="AC127" i="40"/>
  <c r="AP127" i="40" s="1"/>
  <c r="Y124" i="10"/>
  <c r="AP124" i="10" s="1"/>
  <c r="AC127" i="24"/>
  <c r="AP127" i="24" s="1"/>
  <c r="AB127" i="24"/>
  <c r="AO127" i="24" s="1"/>
  <c r="AD127" i="10"/>
  <c r="AQ127" i="10" s="1"/>
  <c r="AD127" i="20"/>
  <c r="AE127" i="10" l="1"/>
  <c r="AR126" i="10"/>
  <c r="AB127" i="40"/>
  <c r="AO127" i="40" s="1"/>
  <c r="AB128" i="41"/>
  <c r="AO128" i="41" s="1"/>
  <c r="AC127" i="41"/>
  <c r="AP127" i="41" s="1"/>
  <c r="O127" i="41"/>
  <c r="P127" i="41"/>
  <c r="E115" i="9"/>
  <c r="P127" i="40"/>
  <c r="O127" i="40"/>
  <c r="P127" i="10"/>
  <c r="O127" i="24"/>
  <c r="O127" i="10"/>
  <c r="X127" i="10" s="1"/>
  <c r="AO127" i="10" s="1"/>
  <c r="P127" i="24"/>
  <c r="AC128" i="40"/>
  <c r="AP128" i="40" s="1"/>
  <c r="Y125" i="10"/>
  <c r="AP125" i="10" s="1"/>
  <c r="AB128" i="24"/>
  <c r="AO128" i="24" s="1"/>
  <c r="AC128" i="24"/>
  <c r="AP128" i="24" s="1"/>
  <c r="AD128" i="20"/>
  <c r="AD128" i="10"/>
  <c r="AQ128" i="10" s="1"/>
  <c r="AE128" i="10" l="1"/>
  <c r="AR127" i="10"/>
  <c r="Y126" i="10"/>
  <c r="AP126" i="10" s="1"/>
  <c r="AB128" i="40"/>
  <c r="AO128" i="40" s="1"/>
  <c r="AC128" i="41"/>
  <c r="AP128" i="41" s="1"/>
  <c r="AB129" i="41"/>
  <c r="AO129" i="41" s="1"/>
  <c r="P128" i="41"/>
  <c r="O128" i="41"/>
  <c r="AC129" i="40"/>
  <c r="AP129" i="40" s="1"/>
  <c r="E116" i="9"/>
  <c r="P128" i="40"/>
  <c r="O128" i="40"/>
  <c r="P128" i="24"/>
  <c r="O128" i="24"/>
  <c r="O128" i="10"/>
  <c r="P128" i="10"/>
  <c r="AC129" i="24"/>
  <c r="AP129" i="24" s="1"/>
  <c r="AB129" i="24"/>
  <c r="AO129" i="24" s="1"/>
  <c r="X128" i="10"/>
  <c r="AO128" i="10" s="1"/>
  <c r="AD129" i="10"/>
  <c r="AQ129" i="10" s="1"/>
  <c r="AD129" i="20"/>
  <c r="AE129" i="10" l="1"/>
  <c r="AR128" i="10"/>
  <c r="Y128" i="10"/>
  <c r="AP128" i="10" s="1"/>
  <c r="Y127" i="10"/>
  <c r="AP127" i="10" s="1"/>
  <c r="AB129" i="40"/>
  <c r="AO129" i="40" s="1"/>
  <c r="AB130" i="41"/>
  <c r="AO130" i="41" s="1"/>
  <c r="P129" i="41"/>
  <c r="O129" i="41"/>
  <c r="AC129" i="41"/>
  <c r="AP129" i="41" s="1"/>
  <c r="E117" i="9"/>
  <c r="P129" i="40"/>
  <c r="O129" i="40"/>
  <c r="O129" i="10"/>
  <c r="X129" i="10" s="1"/>
  <c r="AO129" i="10" s="1"/>
  <c r="O129" i="24"/>
  <c r="P129" i="24"/>
  <c r="P129" i="10"/>
  <c r="Y129" i="10" s="1"/>
  <c r="AP129" i="10" s="1"/>
  <c r="AC130" i="40"/>
  <c r="AP130" i="40" s="1"/>
  <c r="AB130" i="24"/>
  <c r="AO130" i="24" s="1"/>
  <c r="AC130" i="24"/>
  <c r="AP130" i="24" s="1"/>
  <c r="AD130" i="20"/>
  <c r="AD130" i="10"/>
  <c r="AQ130" i="10" s="1"/>
  <c r="AE130" i="10" l="1"/>
  <c r="AR129" i="10"/>
  <c r="AB130" i="40"/>
  <c r="AO130" i="40" s="1"/>
  <c r="AB131" i="41"/>
  <c r="AO131" i="41" s="1"/>
  <c r="P130" i="41"/>
  <c r="O130" i="41"/>
  <c r="AC130" i="41"/>
  <c r="AP130" i="41" s="1"/>
  <c r="AC131" i="40"/>
  <c r="AP131" i="40" s="1"/>
  <c r="E118" i="9"/>
  <c r="P130" i="40"/>
  <c r="O130" i="40"/>
  <c r="P130" i="10"/>
  <c r="Y130" i="10" s="1"/>
  <c r="AP130" i="10" s="1"/>
  <c r="P130" i="24"/>
  <c r="O130" i="24"/>
  <c r="O130" i="10"/>
  <c r="AC131" i="24"/>
  <c r="AP131" i="24" s="1"/>
  <c r="AB131" i="24"/>
  <c r="AO131" i="24" s="1"/>
  <c r="X130" i="10"/>
  <c r="AO130" i="10" s="1"/>
  <c r="AD131" i="10"/>
  <c r="AQ131" i="10" s="1"/>
  <c r="AD131" i="20"/>
  <c r="AE131" i="10" l="1"/>
  <c r="AR130" i="10"/>
  <c r="AB131" i="40"/>
  <c r="AO131" i="40" s="1"/>
  <c r="AB132" i="41"/>
  <c r="AO132" i="41" s="1"/>
  <c r="P131" i="41"/>
  <c r="O131" i="41"/>
  <c r="AC131" i="41"/>
  <c r="AP131" i="41" s="1"/>
  <c r="AC132" i="40"/>
  <c r="AP132" i="40" s="1"/>
  <c r="E119" i="9"/>
  <c r="P131" i="40"/>
  <c r="O131" i="40"/>
  <c r="P131" i="10"/>
  <c r="Y131" i="10" s="1"/>
  <c r="AP131" i="10" s="1"/>
  <c r="O131" i="24"/>
  <c r="P131" i="24"/>
  <c r="O131" i="10"/>
  <c r="AB132" i="24"/>
  <c r="AO132" i="24" s="1"/>
  <c r="AC132" i="24"/>
  <c r="AP132" i="24" s="1"/>
  <c r="X131" i="10"/>
  <c r="AO131" i="10" s="1"/>
  <c r="AD132" i="20"/>
  <c r="AD132" i="10"/>
  <c r="AQ132" i="10" s="1"/>
  <c r="AE132" i="10" l="1"/>
  <c r="AR131" i="10"/>
  <c r="AB132" i="40"/>
  <c r="AO132" i="40" s="1"/>
  <c r="P132" i="41"/>
  <c r="O132" i="41"/>
  <c r="AB133" i="41"/>
  <c r="AO133" i="41" s="1"/>
  <c r="AC132" i="41"/>
  <c r="AP132" i="41" s="1"/>
  <c r="E120" i="9"/>
  <c r="P132" i="40"/>
  <c r="O132" i="40"/>
  <c r="P132" i="24"/>
  <c r="O132" i="24"/>
  <c r="P132" i="10"/>
  <c r="Y132" i="10" s="1"/>
  <c r="AP132" i="10" s="1"/>
  <c r="O132" i="10"/>
  <c r="X132" i="10" s="1"/>
  <c r="AO132" i="10" s="1"/>
  <c r="AC133" i="40"/>
  <c r="AP133" i="40" s="1"/>
  <c r="AC133" i="24"/>
  <c r="AP133" i="24" s="1"/>
  <c r="AB133" i="24"/>
  <c r="AO133" i="24" s="1"/>
  <c r="AD133" i="10"/>
  <c r="AQ133" i="10" s="1"/>
  <c r="AD133" i="20"/>
  <c r="AE133" i="10" l="1"/>
  <c r="AR132" i="10"/>
  <c r="AB133" i="40"/>
  <c r="AO133" i="40" s="1"/>
  <c r="AB134" i="41"/>
  <c r="AO134" i="41" s="1"/>
  <c r="P133" i="41"/>
  <c r="O133" i="41"/>
  <c r="AC133" i="41"/>
  <c r="AP133" i="41" s="1"/>
  <c r="AC134" i="40"/>
  <c r="AP134" i="40" s="1"/>
  <c r="E121" i="9"/>
  <c r="P133" i="40"/>
  <c r="O133" i="40"/>
  <c r="O133" i="24"/>
  <c r="P133" i="10"/>
  <c r="Y133" i="10" s="1"/>
  <c r="AP133" i="10" s="1"/>
  <c r="O133" i="10"/>
  <c r="X133" i="10" s="1"/>
  <c r="AO133" i="10" s="1"/>
  <c r="P133" i="24"/>
  <c r="AB134" i="24"/>
  <c r="AO134" i="24" s="1"/>
  <c r="AC134" i="24"/>
  <c r="AP134" i="24" s="1"/>
  <c r="AD134" i="20"/>
  <c r="AD134" i="10"/>
  <c r="AQ134" i="10" s="1"/>
  <c r="AE134" i="10" l="1"/>
  <c r="AR133" i="10"/>
  <c r="AB134" i="40"/>
  <c r="AO134" i="40" s="1"/>
  <c r="AC134" i="41"/>
  <c r="AP134" i="41" s="1"/>
  <c r="AB135" i="41"/>
  <c r="P134" i="41"/>
  <c r="O134" i="41"/>
  <c r="AC135" i="40"/>
  <c r="E122" i="9"/>
  <c r="P134" i="40"/>
  <c r="O134" i="40"/>
  <c r="O134" i="24"/>
  <c r="O134" i="10"/>
  <c r="X134" i="10" s="1"/>
  <c r="AO134" i="10" s="1"/>
  <c r="P134" i="24"/>
  <c r="P134" i="10"/>
  <c r="Y134" i="10" s="1"/>
  <c r="AP134" i="10" s="1"/>
  <c r="AC135" i="24"/>
  <c r="AB135" i="24"/>
  <c r="AO135" i="24" s="1"/>
  <c r="AD135" i="10"/>
  <c r="AQ135" i="10" s="1"/>
  <c r="AD135" i="20"/>
  <c r="AO135" i="41" l="1"/>
  <c r="AP135" i="40"/>
  <c r="AP135" i="24"/>
  <c r="AE135" i="10"/>
  <c r="AR135" i="10" s="1"/>
  <c r="AR134" i="10"/>
  <c r="AB135" i="40"/>
  <c r="AO135" i="40" s="1"/>
  <c r="P135" i="41"/>
  <c r="O135" i="41"/>
  <c r="AC135" i="41"/>
  <c r="AP135" i="41" s="1"/>
  <c r="P135" i="40"/>
  <c r="O135" i="40"/>
  <c r="P135" i="10"/>
  <c r="Y135" i="10" s="1"/>
  <c r="AP135" i="10" s="1"/>
  <c r="O135" i="24"/>
  <c r="O135" i="10"/>
  <c r="P135" i="24"/>
  <c r="AQ11" i="10"/>
  <c r="BC8" i="10" s="1"/>
  <c r="AO11" i="24"/>
  <c r="BC8" i="24" s="1"/>
  <c r="X135" i="10"/>
  <c r="AO135" i="10" s="1"/>
  <c r="F12" i="7" a="1"/>
  <c r="J12" i="7" a="1"/>
  <c r="F12" i="7" l="1"/>
  <c r="J12" i="7"/>
  <c r="AO11" i="41"/>
  <c r="BC8" i="41" s="1"/>
  <c r="AP11" i="40"/>
  <c r="AP11" i="24"/>
  <c r="BC9" i="24" s="1"/>
  <c r="AR11" i="10"/>
  <c r="BC9" i="10" s="1"/>
  <c r="AP11" i="10"/>
  <c r="AO11" i="10"/>
  <c r="AO11" i="40"/>
  <c r="AP11" i="41"/>
  <c r="BC9" i="41" s="1"/>
  <c r="F13" i="7" a="1"/>
  <c r="J13" i="7" a="1"/>
  <c r="N12" i="7" a="1"/>
  <c r="N13" i="7" a="1"/>
  <c r="N13" i="7" l="1"/>
  <c r="N12" i="7"/>
  <c r="F13" i="7"/>
  <c r="J13" i="7"/>
  <c r="BC8" i="40"/>
  <c r="BC9" i="40"/>
  <c r="W106" i="10"/>
  <c r="AN106" i="10" s="1"/>
  <c r="L12" i="7" a="1"/>
  <c r="L13" i="7" a="1"/>
  <c r="L13" i="7" l="1"/>
  <c r="L12" i="7"/>
  <c r="W107" i="10"/>
  <c r="AN107" i="10" s="1"/>
  <c r="V106" i="10"/>
  <c r="AM106" i="10" s="1"/>
  <c r="V107" i="10" l="1"/>
  <c r="AM107" i="10" s="1"/>
  <c r="W108" i="10"/>
  <c r="AN108" i="10" s="1"/>
  <c r="W109" i="10" l="1"/>
  <c r="AN109" i="10" s="1"/>
  <c r="V108" i="10"/>
  <c r="AM108" i="10" s="1"/>
  <c r="W110" i="10" l="1"/>
  <c r="AN110" i="10" s="1"/>
  <c r="V109" i="10"/>
  <c r="AM109" i="10" s="1"/>
  <c r="V110" i="10" l="1"/>
  <c r="AM110" i="10" s="1"/>
  <c r="W111" i="10"/>
  <c r="AN111" i="10" s="1"/>
  <c r="V111" i="10" l="1"/>
  <c r="AM111" i="10" s="1"/>
  <c r="W112" i="10"/>
  <c r="AN112" i="10" s="1"/>
  <c r="V112" i="10" l="1"/>
  <c r="AM112" i="10" s="1"/>
  <c r="W113" i="10"/>
  <c r="AN113" i="10" s="1"/>
  <c r="W114" i="10" l="1"/>
  <c r="AN114" i="10" s="1"/>
  <c r="V113" i="10"/>
  <c r="AM113" i="10" s="1"/>
  <c r="W115" i="10" l="1"/>
  <c r="AN115" i="10" s="1"/>
  <c r="V114" i="10"/>
  <c r="AM114" i="10" s="1"/>
  <c r="V115" i="10" l="1"/>
  <c r="AM115" i="10" s="1"/>
  <c r="W116" i="10"/>
  <c r="AN116" i="10" s="1"/>
  <c r="V116" i="10" l="1"/>
  <c r="AM116" i="10" s="1"/>
  <c r="W117" i="10"/>
  <c r="AN117" i="10" s="1"/>
  <c r="W118" i="10" l="1"/>
  <c r="AN118" i="10" s="1"/>
  <c r="V117" i="10"/>
  <c r="AM117" i="10" s="1"/>
  <c r="V118" i="10" l="1"/>
  <c r="AM118" i="10" s="1"/>
  <c r="W119" i="10"/>
  <c r="AN119" i="10" s="1"/>
  <c r="W120" i="10" l="1"/>
  <c r="AN120" i="10" s="1"/>
  <c r="V119" i="10"/>
  <c r="AM119" i="10" s="1"/>
  <c r="V120" i="10" l="1"/>
  <c r="AM120" i="10" s="1"/>
  <c r="W121" i="10"/>
  <c r="AN121" i="10" s="1"/>
  <c r="W122" i="10" l="1"/>
  <c r="AN122" i="10" s="1"/>
  <c r="V121" i="10"/>
  <c r="AM121" i="10" s="1"/>
  <c r="V122" i="10" l="1"/>
  <c r="AM122" i="10" s="1"/>
  <c r="W123" i="10"/>
  <c r="AN123" i="10" s="1"/>
  <c r="W124" i="10" l="1"/>
  <c r="AN124" i="10" s="1"/>
  <c r="V123" i="10"/>
  <c r="AM123" i="10" s="1"/>
  <c r="V124" i="10" l="1"/>
  <c r="AM124" i="10" s="1"/>
  <c r="W125" i="10"/>
  <c r="AN125" i="10" s="1"/>
  <c r="W126" i="10" l="1"/>
  <c r="AN126" i="10" s="1"/>
  <c r="V125" i="10"/>
  <c r="AM125" i="10" s="1"/>
  <c r="W127" i="10" l="1"/>
  <c r="AN127" i="10" s="1"/>
  <c r="V126" i="10"/>
  <c r="AM126" i="10" s="1"/>
  <c r="W128" i="10" l="1"/>
  <c r="AN128" i="10" s="1"/>
  <c r="V127" i="10"/>
  <c r="AM127" i="10" s="1"/>
  <c r="W129" i="10" l="1"/>
  <c r="AN129" i="10" s="1"/>
  <c r="V128" i="10"/>
  <c r="AM128" i="10" s="1"/>
  <c r="W130" i="10" l="1"/>
  <c r="AN130" i="10" s="1"/>
  <c r="V129" i="10"/>
  <c r="AM129" i="10" s="1"/>
  <c r="W131" i="10" l="1"/>
  <c r="AN131" i="10" s="1"/>
  <c r="V130" i="10"/>
  <c r="AM130" i="10" s="1"/>
  <c r="W132" i="10" l="1"/>
  <c r="AN132" i="10" s="1"/>
  <c r="V131" i="10"/>
  <c r="AM131" i="10" s="1"/>
  <c r="W133" i="10" l="1"/>
  <c r="AN133" i="10" s="1"/>
  <c r="V132" i="10"/>
  <c r="AM132" i="10" s="1"/>
  <c r="C46" i="9" l="1"/>
  <c r="W134" i="10"/>
  <c r="AN134" i="10" s="1"/>
  <c r="V133" i="10"/>
  <c r="AM133" i="10" s="1"/>
  <c r="C45" i="9" l="1"/>
  <c r="B58" i="20"/>
  <c r="B58" i="41"/>
  <c r="S58" i="41" s="1"/>
  <c r="D45" i="9"/>
  <c r="B58" i="24"/>
  <c r="R58" i="24" s="1"/>
  <c r="B58" i="10"/>
  <c r="S58" i="10" s="1"/>
  <c r="B58" i="40"/>
  <c r="S58" i="40" s="1"/>
  <c r="T58" i="20"/>
  <c r="R58" i="20"/>
  <c r="S58" i="20"/>
  <c r="Q58" i="20"/>
  <c r="C47" i="9"/>
  <c r="B59" i="40"/>
  <c r="B59" i="10"/>
  <c r="B59" i="41"/>
  <c r="B59" i="24"/>
  <c r="D46" i="9"/>
  <c r="B59" i="20"/>
  <c r="W135" i="10"/>
  <c r="AN135" i="10" s="1"/>
  <c r="V134" i="10"/>
  <c r="AM134" i="10" s="1"/>
  <c r="Q58" i="41" l="1"/>
  <c r="C44" i="9"/>
  <c r="Q58" i="24"/>
  <c r="S58" i="24"/>
  <c r="T58" i="24"/>
  <c r="T58" i="41"/>
  <c r="R58" i="41"/>
  <c r="R58" i="10"/>
  <c r="T58" i="10"/>
  <c r="Q58" i="10"/>
  <c r="T58" i="40"/>
  <c r="Q58" i="40"/>
  <c r="R58" i="40"/>
  <c r="B60" i="24"/>
  <c r="B60" i="10"/>
  <c r="C48" i="9"/>
  <c r="B60" i="40"/>
  <c r="B60" i="41"/>
  <c r="D47" i="9"/>
  <c r="B60" i="20"/>
  <c r="AG59" i="20"/>
  <c r="S59" i="20"/>
  <c r="Q59" i="20"/>
  <c r="T59" i="20"/>
  <c r="AF59" i="20"/>
  <c r="R59" i="20"/>
  <c r="M59" i="24"/>
  <c r="S59" i="24"/>
  <c r="Q59" i="24"/>
  <c r="N59" i="24"/>
  <c r="R59" i="24"/>
  <c r="T59" i="24"/>
  <c r="M59" i="41"/>
  <c r="R59" i="41"/>
  <c r="S59" i="41"/>
  <c r="T59" i="41"/>
  <c r="Q59" i="41"/>
  <c r="N59" i="41"/>
  <c r="R59" i="10"/>
  <c r="Q59" i="10"/>
  <c r="M59" i="10"/>
  <c r="V59" i="10" s="1"/>
  <c r="AM59" i="10" s="1"/>
  <c r="N59" i="10"/>
  <c r="W59" i="10" s="1"/>
  <c r="AN59" i="10" s="1"/>
  <c r="S59" i="10"/>
  <c r="AG59" i="10"/>
  <c r="AT59" i="10" s="1"/>
  <c r="AF59" i="10"/>
  <c r="AS59" i="10" s="1"/>
  <c r="T59" i="10"/>
  <c r="Q59" i="40"/>
  <c r="R59" i="40"/>
  <c r="N59" i="40"/>
  <c r="T59" i="40"/>
  <c r="S59" i="40"/>
  <c r="M59" i="40"/>
  <c r="V135" i="10"/>
  <c r="AM135" i="10" s="1"/>
  <c r="B57" i="40" l="1"/>
  <c r="B57" i="24"/>
  <c r="B57" i="41"/>
  <c r="C43" i="9"/>
  <c r="D44" i="9"/>
  <c r="B57" i="20"/>
  <c r="B57" i="10"/>
  <c r="W59" i="40"/>
  <c r="V59" i="41"/>
  <c r="W59" i="24"/>
  <c r="V59" i="24"/>
  <c r="T60" i="20"/>
  <c r="AG60" i="20"/>
  <c r="S60" i="20"/>
  <c r="Q60" i="20"/>
  <c r="R60" i="20"/>
  <c r="AF60" i="20"/>
  <c r="Q60" i="41"/>
  <c r="S60" i="41"/>
  <c r="M60" i="41"/>
  <c r="T60" i="41"/>
  <c r="R60" i="41"/>
  <c r="N60" i="41"/>
  <c r="M60" i="40"/>
  <c r="S60" i="40"/>
  <c r="T60" i="40"/>
  <c r="R60" i="40"/>
  <c r="N60" i="40"/>
  <c r="Q60" i="40"/>
  <c r="B61" i="24"/>
  <c r="B61" i="10"/>
  <c r="B61" i="41"/>
  <c r="C49" i="9"/>
  <c r="B61" i="40"/>
  <c r="B61" i="20"/>
  <c r="D48" i="9"/>
  <c r="W59" i="41"/>
  <c r="R60" i="10"/>
  <c r="N60" i="10"/>
  <c r="W60" i="10" s="1"/>
  <c r="AN60" i="10" s="1"/>
  <c r="M60" i="10"/>
  <c r="V60" i="10" s="1"/>
  <c r="AM60" i="10" s="1"/>
  <c r="T60" i="10"/>
  <c r="Q60" i="10"/>
  <c r="S60" i="10"/>
  <c r="AG60" i="10"/>
  <c r="AT60" i="10" s="1"/>
  <c r="AF60" i="10"/>
  <c r="AS60" i="10" s="1"/>
  <c r="R60" i="24"/>
  <c r="N60" i="24"/>
  <c r="Q60" i="24"/>
  <c r="T60" i="24"/>
  <c r="M60" i="24"/>
  <c r="S60" i="24"/>
  <c r="V59" i="40"/>
  <c r="Q57" i="10" l="1"/>
  <c r="R57" i="10"/>
  <c r="T57" i="10"/>
  <c r="S57" i="10"/>
  <c r="T57" i="20"/>
  <c r="Q57" i="20"/>
  <c r="S57" i="20"/>
  <c r="R57" i="20"/>
  <c r="C42" i="9"/>
  <c r="B56" i="10"/>
  <c r="B56" i="40"/>
  <c r="B56" i="20"/>
  <c r="B56" i="24"/>
  <c r="B56" i="41"/>
  <c r="D43" i="9"/>
  <c r="S57" i="41"/>
  <c r="R57" i="41"/>
  <c r="Q57" i="41"/>
  <c r="T57" i="41"/>
  <c r="T57" i="24"/>
  <c r="Q57" i="24"/>
  <c r="S57" i="24"/>
  <c r="R57" i="24"/>
  <c r="R57" i="40"/>
  <c r="Q57" i="40"/>
  <c r="T57" i="40"/>
  <c r="S57" i="40"/>
  <c r="V60" i="40"/>
  <c r="W60" i="41"/>
  <c r="V60" i="41"/>
  <c r="Q61" i="20"/>
  <c r="R61" i="20"/>
  <c r="S61" i="20"/>
  <c r="T61" i="20"/>
  <c r="AG61" i="20"/>
  <c r="AF61" i="20"/>
  <c r="S61" i="40"/>
  <c r="Q61" i="40"/>
  <c r="R61" i="40"/>
  <c r="N61" i="40"/>
  <c r="M61" i="40"/>
  <c r="T61" i="40"/>
  <c r="W60" i="24"/>
  <c r="B62" i="41"/>
  <c r="B62" i="40"/>
  <c r="C50" i="9"/>
  <c r="B62" i="24"/>
  <c r="B62" i="10"/>
  <c r="D49" i="9"/>
  <c r="B62" i="20"/>
  <c r="S61" i="41"/>
  <c r="R61" i="41"/>
  <c r="N61" i="41"/>
  <c r="Q61" i="41"/>
  <c r="M61" i="41"/>
  <c r="T61" i="41"/>
  <c r="S61" i="10"/>
  <c r="R61" i="10"/>
  <c r="Q61" i="10"/>
  <c r="T61" i="10"/>
  <c r="N61" i="10"/>
  <c r="W61" i="10" s="1"/>
  <c r="AN61" i="10" s="1"/>
  <c r="M61" i="10"/>
  <c r="V61" i="10" s="1"/>
  <c r="AM61" i="10" s="1"/>
  <c r="AF61" i="10"/>
  <c r="AS61" i="10" s="1"/>
  <c r="R61" i="24"/>
  <c r="N61" i="24"/>
  <c r="Q61" i="24"/>
  <c r="M61" i="24"/>
  <c r="S61" i="24"/>
  <c r="T61" i="24"/>
  <c r="W60" i="40"/>
  <c r="V60" i="24"/>
  <c r="AG61" i="10"/>
  <c r="AT61" i="10" s="1"/>
  <c r="Q56" i="20" l="1"/>
  <c r="S56" i="20"/>
  <c r="T56" i="20"/>
  <c r="R56" i="20"/>
  <c r="S56" i="40"/>
  <c r="T56" i="40"/>
  <c r="Q56" i="40"/>
  <c r="R56" i="40"/>
  <c r="T56" i="10"/>
  <c r="Q56" i="10"/>
  <c r="R56" i="10"/>
  <c r="S56" i="10"/>
  <c r="D42" i="9"/>
  <c r="C41" i="9"/>
  <c r="B55" i="24"/>
  <c r="B55" i="41"/>
  <c r="B55" i="20"/>
  <c r="B55" i="40"/>
  <c r="B55" i="10"/>
  <c r="S56" i="41"/>
  <c r="Q56" i="41"/>
  <c r="T56" i="41"/>
  <c r="R56" i="41"/>
  <c r="Q56" i="24"/>
  <c r="R56" i="24"/>
  <c r="T56" i="24"/>
  <c r="S56" i="24"/>
  <c r="W61" i="40"/>
  <c r="W61" i="24"/>
  <c r="V61" i="41"/>
  <c r="V61" i="40"/>
  <c r="V61" i="24"/>
  <c r="S62" i="20"/>
  <c r="Q62" i="20"/>
  <c r="R62" i="20"/>
  <c r="T62" i="20"/>
  <c r="AG62" i="20"/>
  <c r="AF62" i="20"/>
  <c r="S62" i="10"/>
  <c r="Q62" i="10"/>
  <c r="R62" i="10"/>
  <c r="N62" i="10"/>
  <c r="W62" i="10" s="1"/>
  <c r="AN62" i="10" s="1"/>
  <c r="AF62" i="10"/>
  <c r="AS62" i="10" s="1"/>
  <c r="T62" i="10"/>
  <c r="AG62" i="10"/>
  <c r="AT62" i="10" s="1"/>
  <c r="M62" i="10"/>
  <c r="V62" i="10" s="1"/>
  <c r="AM62" i="10" s="1"/>
  <c r="W61" i="41"/>
  <c r="Q62" i="24"/>
  <c r="R62" i="24"/>
  <c r="M62" i="24"/>
  <c r="N62" i="24"/>
  <c r="T62" i="24"/>
  <c r="S62" i="24"/>
  <c r="B63" i="40"/>
  <c r="C51" i="9"/>
  <c r="B63" i="41"/>
  <c r="B63" i="10"/>
  <c r="B63" i="24"/>
  <c r="B63" i="20"/>
  <c r="D50" i="9"/>
  <c r="S62" i="40"/>
  <c r="Q62" i="40"/>
  <c r="R62" i="40"/>
  <c r="M62" i="40"/>
  <c r="N62" i="40"/>
  <c r="T62" i="40"/>
  <c r="M62" i="41"/>
  <c r="T62" i="41"/>
  <c r="R62" i="41"/>
  <c r="S62" i="41"/>
  <c r="Q62" i="41"/>
  <c r="N62" i="41"/>
  <c r="S55" i="10" l="1"/>
  <c r="Q55" i="10"/>
  <c r="R55" i="10"/>
  <c r="T55" i="10"/>
  <c r="Q55" i="40"/>
  <c r="S55" i="40"/>
  <c r="T55" i="40"/>
  <c r="R55" i="40"/>
  <c r="S55" i="20"/>
  <c r="R55" i="20"/>
  <c r="T55" i="20"/>
  <c r="Q55" i="20"/>
  <c r="T55" i="41"/>
  <c r="R55" i="41"/>
  <c r="Q55" i="41"/>
  <c r="S55" i="41"/>
  <c r="S55" i="24"/>
  <c r="Q55" i="24"/>
  <c r="T55" i="24"/>
  <c r="R55" i="24"/>
  <c r="B54" i="10"/>
  <c r="C40" i="9"/>
  <c r="B54" i="40"/>
  <c r="B54" i="41"/>
  <c r="B54" i="20"/>
  <c r="D41" i="9"/>
  <c r="B54" i="24"/>
  <c r="W62" i="40"/>
  <c r="W62" i="24"/>
  <c r="V62" i="40"/>
  <c r="V62" i="24"/>
  <c r="V62" i="41"/>
  <c r="Q63" i="20"/>
  <c r="R63" i="20"/>
  <c r="T63" i="20"/>
  <c r="S63" i="20"/>
  <c r="AG63" i="20"/>
  <c r="AF63" i="20"/>
  <c r="W62" i="41"/>
  <c r="T63" i="24"/>
  <c r="S63" i="24"/>
  <c r="Q63" i="24"/>
  <c r="R63" i="24"/>
  <c r="M63" i="24"/>
  <c r="N63" i="24"/>
  <c r="AG63" i="10"/>
  <c r="AT63" i="10" s="1"/>
  <c r="N63" i="10"/>
  <c r="W63" i="10" s="1"/>
  <c r="AN63" i="10" s="1"/>
  <c r="R63" i="10"/>
  <c r="Q63" i="10"/>
  <c r="S63" i="10"/>
  <c r="T63" i="10"/>
  <c r="AF63" i="10"/>
  <c r="AS63" i="10" s="1"/>
  <c r="M63" i="10"/>
  <c r="V63" i="10" s="1"/>
  <c r="AM63" i="10" s="1"/>
  <c r="S63" i="41"/>
  <c r="Q63" i="41"/>
  <c r="M63" i="41"/>
  <c r="T63" i="41"/>
  <c r="R63" i="41"/>
  <c r="N63" i="41"/>
  <c r="C52" i="9"/>
  <c r="B64" i="10"/>
  <c r="B64" i="24"/>
  <c r="B64" i="40"/>
  <c r="B64" i="41"/>
  <c r="D51" i="9"/>
  <c r="B64" i="20"/>
  <c r="R63" i="40"/>
  <c r="S63" i="40"/>
  <c r="N63" i="40"/>
  <c r="Q63" i="40"/>
  <c r="T63" i="40"/>
  <c r="M63" i="40"/>
  <c r="T54" i="24" l="1"/>
  <c r="S54" i="24"/>
  <c r="R54" i="24"/>
  <c r="Q54" i="24"/>
  <c r="S54" i="20"/>
  <c r="Q54" i="20"/>
  <c r="R54" i="20"/>
  <c r="T54" i="20"/>
  <c r="R54" i="41"/>
  <c r="T54" i="41"/>
  <c r="Q54" i="41"/>
  <c r="S54" i="41"/>
  <c r="T54" i="40"/>
  <c r="S54" i="40"/>
  <c r="Q54" i="40"/>
  <c r="R54" i="40"/>
  <c r="B53" i="10"/>
  <c r="C39" i="9"/>
  <c r="B53" i="20"/>
  <c r="B53" i="24"/>
  <c r="B53" i="40"/>
  <c r="B53" i="41"/>
  <c r="D40" i="9"/>
  <c r="T54" i="10"/>
  <c r="R54" i="10"/>
  <c r="S54" i="10"/>
  <c r="Q54" i="10"/>
  <c r="V63" i="40"/>
  <c r="V63" i="41"/>
  <c r="T64" i="20"/>
  <c r="R64" i="20"/>
  <c r="S64" i="20"/>
  <c r="Q64" i="20"/>
  <c r="AG64" i="20"/>
  <c r="AF64" i="20"/>
  <c r="S64" i="41"/>
  <c r="R64" i="41"/>
  <c r="Q64" i="41"/>
  <c r="N64" i="41"/>
  <c r="T64" i="41"/>
  <c r="M64" i="41"/>
  <c r="Q64" i="40"/>
  <c r="M64" i="40"/>
  <c r="R64" i="40"/>
  <c r="S64" i="40"/>
  <c r="N64" i="40"/>
  <c r="T64" i="40"/>
  <c r="S64" i="24"/>
  <c r="T64" i="24"/>
  <c r="M64" i="24"/>
  <c r="Q64" i="24"/>
  <c r="R64" i="24"/>
  <c r="N64" i="24"/>
  <c r="W63" i="40"/>
  <c r="Q64" i="10"/>
  <c r="AF64" i="10"/>
  <c r="AS64" i="10" s="1"/>
  <c r="M64" i="10"/>
  <c r="V64" i="10" s="1"/>
  <c r="AM64" i="10" s="1"/>
  <c r="AG64" i="10"/>
  <c r="AT64" i="10" s="1"/>
  <c r="T64" i="10"/>
  <c r="S64" i="10"/>
  <c r="N64" i="10"/>
  <c r="W64" i="10" s="1"/>
  <c r="AN64" i="10" s="1"/>
  <c r="R64" i="10"/>
  <c r="C53" i="9"/>
  <c r="B65" i="10"/>
  <c r="B65" i="40"/>
  <c r="B65" i="24"/>
  <c r="B65" i="41"/>
  <c r="B65" i="20"/>
  <c r="D52" i="9"/>
  <c r="W63" i="41"/>
  <c r="W63" i="24"/>
  <c r="V63" i="24"/>
  <c r="Q53" i="41" l="1"/>
  <c r="T53" i="41"/>
  <c r="R53" i="41"/>
  <c r="S53" i="41"/>
  <c r="S53" i="40"/>
  <c r="T53" i="40"/>
  <c r="R53" i="40"/>
  <c r="Q53" i="40"/>
  <c r="Q53" i="24"/>
  <c r="S53" i="24"/>
  <c r="T53" i="24"/>
  <c r="R53" i="24"/>
  <c r="Q53" i="20"/>
  <c r="S53" i="20"/>
  <c r="R53" i="20"/>
  <c r="T53" i="20"/>
  <c r="B52" i="20"/>
  <c r="C38" i="9"/>
  <c r="B52" i="24"/>
  <c r="B52" i="41"/>
  <c r="B52" i="40"/>
  <c r="B52" i="10"/>
  <c r="D39" i="9"/>
  <c r="T53" i="10"/>
  <c r="R53" i="10"/>
  <c r="S53" i="10"/>
  <c r="Q53" i="10"/>
  <c r="Q65" i="20"/>
  <c r="T65" i="20"/>
  <c r="S65" i="20"/>
  <c r="R65" i="20"/>
  <c r="AG65" i="20"/>
  <c r="AF65" i="20"/>
  <c r="N65" i="41"/>
  <c r="R65" i="41"/>
  <c r="Q65" i="41"/>
  <c r="T65" i="41"/>
  <c r="S65" i="41"/>
  <c r="M65" i="41"/>
  <c r="W64" i="41"/>
  <c r="S65" i="24"/>
  <c r="Q65" i="24"/>
  <c r="T65" i="24"/>
  <c r="R65" i="24"/>
  <c r="N65" i="24"/>
  <c r="M65" i="24"/>
  <c r="M65" i="40"/>
  <c r="R65" i="40"/>
  <c r="S65" i="40"/>
  <c r="N65" i="40"/>
  <c r="T65" i="40"/>
  <c r="Q65" i="40"/>
  <c r="S65" i="10"/>
  <c r="M65" i="10"/>
  <c r="V65" i="10" s="1"/>
  <c r="AM65" i="10" s="1"/>
  <c r="AF65" i="10"/>
  <c r="AS65" i="10" s="1"/>
  <c r="AG65" i="10"/>
  <c r="AT65" i="10" s="1"/>
  <c r="Q65" i="10"/>
  <c r="T65" i="10"/>
  <c r="N65" i="10"/>
  <c r="W65" i="10" s="1"/>
  <c r="AN65" i="10" s="1"/>
  <c r="R65" i="10"/>
  <c r="W64" i="24"/>
  <c r="C54" i="9"/>
  <c r="B66" i="24"/>
  <c r="B66" i="10"/>
  <c r="B66" i="40"/>
  <c r="B66" i="41"/>
  <c r="D53" i="9"/>
  <c r="B66" i="20"/>
  <c r="V64" i="24"/>
  <c r="W64" i="40"/>
  <c r="V64" i="40"/>
  <c r="V64" i="41"/>
  <c r="S52" i="41" l="1"/>
  <c r="T52" i="41"/>
  <c r="R52" i="41"/>
  <c r="Q52" i="41"/>
  <c r="S52" i="24"/>
  <c r="R52" i="24"/>
  <c r="T52" i="24"/>
  <c r="Q52" i="24"/>
  <c r="C37" i="9"/>
  <c r="B51" i="24"/>
  <c r="B51" i="41"/>
  <c r="B51" i="40"/>
  <c r="B51" i="10"/>
  <c r="B51" i="20"/>
  <c r="D38" i="9"/>
  <c r="T52" i="20"/>
  <c r="R52" i="20"/>
  <c r="Q52" i="20"/>
  <c r="S52" i="20"/>
  <c r="R52" i="10"/>
  <c r="Q52" i="10"/>
  <c r="S52" i="10"/>
  <c r="T52" i="10"/>
  <c r="S52" i="40"/>
  <c r="Q52" i="40"/>
  <c r="T52" i="40"/>
  <c r="R52" i="40"/>
  <c r="V65" i="40"/>
  <c r="V65" i="41"/>
  <c r="Q66" i="41"/>
  <c r="T66" i="41"/>
  <c r="R66" i="41"/>
  <c r="N66" i="41"/>
  <c r="M66" i="41"/>
  <c r="S66" i="41"/>
  <c r="M66" i="40"/>
  <c r="N66" i="40"/>
  <c r="S66" i="40"/>
  <c r="Q66" i="40"/>
  <c r="T66" i="40"/>
  <c r="R66" i="40"/>
  <c r="W65" i="40"/>
  <c r="R66" i="24"/>
  <c r="Q66" i="24"/>
  <c r="M66" i="24"/>
  <c r="N66" i="24"/>
  <c r="S66" i="24"/>
  <c r="T66" i="24"/>
  <c r="B67" i="40"/>
  <c r="B67" i="24"/>
  <c r="B67" i="41"/>
  <c r="B67" i="10"/>
  <c r="C55" i="9"/>
  <c r="D54" i="9"/>
  <c r="B67" i="20"/>
  <c r="W65" i="41"/>
  <c r="AF66" i="10"/>
  <c r="AS66" i="10" s="1"/>
  <c r="AG66" i="10"/>
  <c r="AT66" i="10" s="1"/>
  <c r="M66" i="10"/>
  <c r="V66" i="10" s="1"/>
  <c r="AM66" i="10" s="1"/>
  <c r="S66" i="10"/>
  <c r="N66" i="10"/>
  <c r="W66" i="10" s="1"/>
  <c r="AN66" i="10" s="1"/>
  <c r="Q66" i="10"/>
  <c r="R66" i="10"/>
  <c r="T66" i="10"/>
  <c r="V65" i="24"/>
  <c r="W65" i="24"/>
  <c r="T66" i="20"/>
  <c r="S66" i="20"/>
  <c r="R66" i="20"/>
  <c r="Q66" i="20"/>
  <c r="AG66" i="20"/>
  <c r="AF66" i="20"/>
  <c r="S51" i="10" l="1"/>
  <c r="Q51" i="10"/>
  <c r="T51" i="10"/>
  <c r="R51" i="10"/>
  <c r="T51" i="40"/>
  <c r="S51" i="40"/>
  <c r="Q51" i="40"/>
  <c r="R51" i="40"/>
  <c r="Q51" i="41"/>
  <c r="R51" i="41"/>
  <c r="T51" i="41"/>
  <c r="S51" i="41"/>
  <c r="R51" i="24"/>
  <c r="S51" i="24"/>
  <c r="Q51" i="24"/>
  <c r="T51" i="24"/>
  <c r="B50" i="24"/>
  <c r="B50" i="20"/>
  <c r="B50" i="40"/>
  <c r="B50" i="41"/>
  <c r="B50" i="10"/>
  <c r="D37" i="9"/>
  <c r="C36" i="9"/>
  <c r="Q51" i="20"/>
  <c r="S51" i="20"/>
  <c r="R51" i="20"/>
  <c r="T51" i="20"/>
  <c r="R67" i="20"/>
  <c r="Q67" i="20"/>
  <c r="T67" i="20"/>
  <c r="S67" i="20"/>
  <c r="AG67" i="20"/>
  <c r="AF67" i="20"/>
  <c r="B68" i="10"/>
  <c r="C56" i="9"/>
  <c r="B68" i="24"/>
  <c r="B68" i="40"/>
  <c r="B68" i="41"/>
  <c r="B68" i="20"/>
  <c r="D55" i="9"/>
  <c r="AG67" i="10"/>
  <c r="AT67" i="10" s="1"/>
  <c r="M67" i="10"/>
  <c r="V67" i="10" s="1"/>
  <c r="AM67" i="10" s="1"/>
  <c r="T67" i="10"/>
  <c r="N67" i="10"/>
  <c r="W67" i="10" s="1"/>
  <c r="AN67" i="10" s="1"/>
  <c r="R67" i="10"/>
  <c r="Q67" i="10"/>
  <c r="S67" i="10"/>
  <c r="AF67" i="10"/>
  <c r="AS67" i="10" s="1"/>
  <c r="W66" i="40"/>
  <c r="T67" i="41"/>
  <c r="R67" i="41"/>
  <c r="N67" i="41"/>
  <c r="M67" i="41"/>
  <c r="S67" i="41"/>
  <c r="Q67" i="41"/>
  <c r="V66" i="40"/>
  <c r="T67" i="24"/>
  <c r="M67" i="24"/>
  <c r="Q67" i="24"/>
  <c r="N67" i="24"/>
  <c r="R67" i="24"/>
  <c r="S67" i="24"/>
  <c r="R67" i="40"/>
  <c r="S67" i="40"/>
  <c r="M67" i="40"/>
  <c r="T67" i="40"/>
  <c r="N67" i="40"/>
  <c r="Q67" i="40"/>
  <c r="V66" i="41"/>
  <c r="W66" i="41"/>
  <c r="W66" i="24"/>
  <c r="V66" i="24"/>
  <c r="D36" i="9" l="1"/>
  <c r="B49" i="24"/>
  <c r="B49" i="41"/>
  <c r="B49" i="20"/>
  <c r="B49" i="10"/>
  <c r="C35" i="9"/>
  <c r="B49" i="40"/>
  <c r="T50" i="10"/>
  <c r="R50" i="10"/>
  <c r="S50" i="10"/>
  <c r="Q50" i="10"/>
  <c r="S50" i="41"/>
  <c r="Q50" i="41"/>
  <c r="R50" i="41"/>
  <c r="T50" i="41"/>
  <c r="R50" i="40"/>
  <c r="Q50" i="40"/>
  <c r="S50" i="40"/>
  <c r="T50" i="40"/>
  <c r="T50" i="20"/>
  <c r="R50" i="20"/>
  <c r="Q50" i="20"/>
  <c r="S50" i="20"/>
  <c r="S50" i="24"/>
  <c r="Q50" i="24"/>
  <c r="R50" i="24"/>
  <c r="T50" i="24"/>
  <c r="V67" i="41"/>
  <c r="R68" i="20"/>
  <c r="Q68" i="20"/>
  <c r="T68" i="20"/>
  <c r="S68" i="20"/>
  <c r="AG68" i="20"/>
  <c r="AF68" i="20"/>
  <c r="W67" i="40"/>
  <c r="W67" i="41"/>
  <c r="Q68" i="41"/>
  <c r="T68" i="41"/>
  <c r="R68" i="41"/>
  <c r="N68" i="41"/>
  <c r="M68" i="41"/>
  <c r="S68" i="41"/>
  <c r="M68" i="40"/>
  <c r="S68" i="40"/>
  <c r="N68" i="40"/>
  <c r="Q68" i="40"/>
  <c r="T68" i="40"/>
  <c r="R68" i="40"/>
  <c r="V67" i="40"/>
  <c r="R68" i="24"/>
  <c r="Q68" i="24"/>
  <c r="N68" i="24"/>
  <c r="M68" i="24"/>
  <c r="T68" i="24"/>
  <c r="S68" i="24"/>
  <c r="B69" i="24"/>
  <c r="B69" i="41"/>
  <c r="B69" i="10"/>
  <c r="B69" i="40"/>
  <c r="B69" i="20"/>
  <c r="D56" i="9"/>
  <c r="C57" i="9"/>
  <c r="S68" i="10"/>
  <c r="Q68" i="10"/>
  <c r="M68" i="10"/>
  <c r="V68" i="10" s="1"/>
  <c r="AM68" i="10" s="1"/>
  <c r="T68" i="10"/>
  <c r="AG68" i="10"/>
  <c r="AT68" i="10" s="1"/>
  <c r="R68" i="10"/>
  <c r="N68" i="10"/>
  <c r="W68" i="10" s="1"/>
  <c r="AN68" i="10" s="1"/>
  <c r="AF68" i="10"/>
  <c r="AS68" i="10" s="1"/>
  <c r="W67" i="24"/>
  <c r="V67" i="24"/>
  <c r="R49" i="40" l="1"/>
  <c r="T49" i="40"/>
  <c r="S49" i="40"/>
  <c r="Q49" i="40"/>
  <c r="C34" i="9"/>
  <c r="B48" i="41"/>
  <c r="B48" i="40"/>
  <c r="D35" i="9"/>
  <c r="B48" i="10"/>
  <c r="B48" i="20"/>
  <c r="B48" i="24"/>
  <c r="T49" i="10"/>
  <c r="R49" i="10"/>
  <c r="S49" i="10"/>
  <c r="Q49" i="10"/>
  <c r="R49" i="20"/>
  <c r="Q49" i="20"/>
  <c r="S49" i="20"/>
  <c r="T49" i="20"/>
  <c r="R49" i="41"/>
  <c r="S49" i="41"/>
  <c r="T49" i="41"/>
  <c r="Q49" i="41"/>
  <c r="Q49" i="24"/>
  <c r="S49" i="24"/>
  <c r="R49" i="24"/>
  <c r="T49" i="24"/>
  <c r="V68" i="24"/>
  <c r="W68" i="24"/>
  <c r="B70" i="10"/>
  <c r="C58" i="9"/>
  <c r="B70" i="24"/>
  <c r="B70" i="41"/>
  <c r="D57" i="9"/>
  <c r="B70" i="40"/>
  <c r="B70" i="20"/>
  <c r="S69" i="20"/>
  <c r="T69" i="20"/>
  <c r="R69" i="20"/>
  <c r="Q69" i="20"/>
  <c r="AG69" i="20"/>
  <c r="AF69" i="20"/>
  <c r="S69" i="40"/>
  <c r="M69" i="40"/>
  <c r="R69" i="40"/>
  <c r="T69" i="40"/>
  <c r="N69" i="40"/>
  <c r="Q69" i="40"/>
  <c r="AG69" i="10"/>
  <c r="AT69" i="10" s="1"/>
  <c r="AF69" i="10"/>
  <c r="AS69" i="10" s="1"/>
  <c r="Q69" i="10"/>
  <c r="T69" i="10"/>
  <c r="R69" i="10"/>
  <c r="N69" i="10"/>
  <c r="W69" i="10" s="1"/>
  <c r="AN69" i="10" s="1"/>
  <c r="M69" i="10"/>
  <c r="V69" i="10" s="1"/>
  <c r="AM69" i="10" s="1"/>
  <c r="S69" i="10"/>
  <c r="W68" i="40"/>
  <c r="S69" i="41"/>
  <c r="M69" i="41"/>
  <c r="Q69" i="41"/>
  <c r="T69" i="41"/>
  <c r="N69" i="41"/>
  <c r="R69" i="41"/>
  <c r="Q69" i="24"/>
  <c r="M69" i="24"/>
  <c r="T69" i="24"/>
  <c r="S69" i="24"/>
  <c r="R69" i="24"/>
  <c r="N69" i="24"/>
  <c r="V68" i="40"/>
  <c r="V68" i="41"/>
  <c r="W68" i="41"/>
  <c r="S48" i="40" l="1"/>
  <c r="R48" i="40"/>
  <c r="Q48" i="40"/>
  <c r="T48" i="40"/>
  <c r="S48" i="41"/>
  <c r="R48" i="41"/>
  <c r="Q48" i="41"/>
  <c r="T48" i="41"/>
  <c r="C33" i="9"/>
  <c r="B47" i="20"/>
  <c r="B47" i="24"/>
  <c r="B47" i="10"/>
  <c r="D34" i="9"/>
  <c r="B47" i="40"/>
  <c r="B47" i="41"/>
  <c r="S48" i="24"/>
  <c r="R48" i="24"/>
  <c r="Q48" i="24"/>
  <c r="T48" i="24"/>
  <c r="R48" i="20"/>
  <c r="Q48" i="20"/>
  <c r="S48" i="20"/>
  <c r="T48" i="20"/>
  <c r="Q48" i="10"/>
  <c r="S48" i="10"/>
  <c r="T48" i="10"/>
  <c r="R48" i="10"/>
  <c r="V69" i="24"/>
  <c r="R70" i="20"/>
  <c r="Q70" i="20"/>
  <c r="S70" i="20"/>
  <c r="T70" i="20"/>
  <c r="AG70" i="20"/>
  <c r="AF70" i="20"/>
  <c r="T70" i="40"/>
  <c r="R70" i="40"/>
  <c r="N70" i="40"/>
  <c r="Q70" i="40"/>
  <c r="M70" i="40"/>
  <c r="S70" i="40"/>
  <c r="W69" i="41"/>
  <c r="W69" i="40"/>
  <c r="S70" i="41"/>
  <c r="R70" i="41"/>
  <c r="T70" i="41"/>
  <c r="M70" i="41"/>
  <c r="N70" i="41"/>
  <c r="Q70" i="41"/>
  <c r="T70" i="24"/>
  <c r="M70" i="24"/>
  <c r="S70" i="24"/>
  <c r="N70" i="24"/>
  <c r="R70" i="24"/>
  <c r="Q70" i="24"/>
  <c r="C59" i="9"/>
  <c r="B71" i="10"/>
  <c r="B71" i="24"/>
  <c r="B71" i="40"/>
  <c r="D58" i="9"/>
  <c r="B71" i="41"/>
  <c r="B71" i="20"/>
  <c r="V69" i="41"/>
  <c r="V69" i="40"/>
  <c r="AG70" i="10"/>
  <c r="AT70" i="10" s="1"/>
  <c r="Q70" i="10"/>
  <c r="R70" i="10"/>
  <c r="T70" i="10"/>
  <c r="N70" i="10"/>
  <c r="W70" i="10" s="1"/>
  <c r="AN70" i="10" s="1"/>
  <c r="AF70" i="10"/>
  <c r="AS70" i="10" s="1"/>
  <c r="S70" i="10"/>
  <c r="M70" i="10"/>
  <c r="V70" i="10" s="1"/>
  <c r="AM70" i="10" s="1"/>
  <c r="W69" i="24"/>
  <c r="S47" i="10" l="1"/>
  <c r="Q47" i="10"/>
  <c r="R47" i="10"/>
  <c r="T47" i="10"/>
  <c r="S47" i="24"/>
  <c r="Q47" i="24"/>
  <c r="R47" i="24"/>
  <c r="T47" i="24"/>
  <c r="S47" i="20"/>
  <c r="R47" i="20"/>
  <c r="Q47" i="20"/>
  <c r="T47" i="20"/>
  <c r="C32" i="9"/>
  <c r="B46" i="41"/>
  <c r="B46" i="10"/>
  <c r="B46" i="20"/>
  <c r="B46" i="24"/>
  <c r="D33" i="9"/>
  <c r="B46" i="40"/>
  <c r="T47" i="41"/>
  <c r="R47" i="41"/>
  <c r="S47" i="41"/>
  <c r="Q47" i="41"/>
  <c r="R47" i="40"/>
  <c r="T47" i="40"/>
  <c r="S47" i="40"/>
  <c r="Q47" i="40"/>
  <c r="V70" i="24"/>
  <c r="W70" i="40"/>
  <c r="W70" i="41"/>
  <c r="V70" i="41"/>
  <c r="Q71" i="20"/>
  <c r="R71" i="20"/>
  <c r="T71" i="20"/>
  <c r="S71" i="20"/>
  <c r="AG71" i="20"/>
  <c r="AF71" i="20"/>
  <c r="R71" i="41"/>
  <c r="M71" i="41"/>
  <c r="N71" i="41"/>
  <c r="S71" i="41"/>
  <c r="Q71" i="41"/>
  <c r="T71" i="41"/>
  <c r="R71" i="40"/>
  <c r="S71" i="40"/>
  <c r="M71" i="40"/>
  <c r="N71" i="40"/>
  <c r="Q71" i="40"/>
  <c r="T71" i="40"/>
  <c r="S71" i="24"/>
  <c r="N71" i="24"/>
  <c r="M71" i="24"/>
  <c r="R71" i="24"/>
  <c r="Q71" i="24"/>
  <c r="T71" i="24"/>
  <c r="AG71" i="10"/>
  <c r="AT71" i="10" s="1"/>
  <c r="N71" i="10"/>
  <c r="W71" i="10" s="1"/>
  <c r="AN71" i="10" s="1"/>
  <c r="AF71" i="10"/>
  <c r="AS71" i="10" s="1"/>
  <c r="S71" i="10"/>
  <c r="Q71" i="10"/>
  <c r="M71" i="10"/>
  <c r="V71" i="10" s="1"/>
  <c r="AM71" i="10" s="1"/>
  <c r="R71" i="10"/>
  <c r="T71" i="10"/>
  <c r="B72" i="24"/>
  <c r="C60" i="9"/>
  <c r="D59" i="9"/>
  <c r="B72" i="10"/>
  <c r="B72" i="20"/>
  <c r="B72" i="40"/>
  <c r="B72" i="41"/>
  <c r="W70" i="24"/>
  <c r="V70" i="40"/>
  <c r="B45" i="24" l="1"/>
  <c r="B45" i="41"/>
  <c r="C31" i="9"/>
  <c r="B45" i="20"/>
  <c r="B45" i="40"/>
  <c r="B45" i="10"/>
  <c r="D32" i="9"/>
  <c r="S46" i="40"/>
  <c r="Q46" i="40"/>
  <c r="R46" i="40"/>
  <c r="T46" i="40"/>
  <c r="Q46" i="24"/>
  <c r="S46" i="24"/>
  <c r="T46" i="24"/>
  <c r="R46" i="24"/>
  <c r="T46" i="20"/>
  <c r="R46" i="20"/>
  <c r="Q46" i="20"/>
  <c r="S46" i="20"/>
  <c r="S46" i="10"/>
  <c r="Q46" i="10"/>
  <c r="T46" i="10"/>
  <c r="R46" i="10"/>
  <c r="R46" i="41"/>
  <c r="T46" i="41"/>
  <c r="Q46" i="41"/>
  <c r="S46" i="41"/>
  <c r="W71" i="24"/>
  <c r="C61" i="9"/>
  <c r="B73" i="20"/>
  <c r="B73" i="10"/>
  <c r="D60" i="9"/>
  <c r="B73" i="24"/>
  <c r="B73" i="40"/>
  <c r="B73" i="41"/>
  <c r="M72" i="24"/>
  <c r="N72" i="24"/>
  <c r="R72" i="24"/>
  <c r="Q72" i="24"/>
  <c r="T72" i="24"/>
  <c r="S72" i="24"/>
  <c r="W71" i="40"/>
  <c r="V71" i="40"/>
  <c r="T72" i="41"/>
  <c r="N72" i="41"/>
  <c r="Q72" i="41"/>
  <c r="M72" i="41"/>
  <c r="R72" i="41"/>
  <c r="S72" i="41"/>
  <c r="W71" i="41"/>
  <c r="N72" i="40"/>
  <c r="T72" i="40"/>
  <c r="S72" i="40"/>
  <c r="R72" i="40"/>
  <c r="Q72" i="40"/>
  <c r="M72" i="40"/>
  <c r="V71" i="41"/>
  <c r="Q72" i="20"/>
  <c r="R72" i="20"/>
  <c r="T72" i="20"/>
  <c r="S72" i="20"/>
  <c r="AG72" i="20"/>
  <c r="AF72" i="20"/>
  <c r="AG72" i="10"/>
  <c r="AT72" i="10" s="1"/>
  <c r="Q72" i="10"/>
  <c r="T72" i="10"/>
  <c r="R72" i="10"/>
  <c r="AF72" i="10"/>
  <c r="AS72" i="10" s="1"/>
  <c r="N72" i="10"/>
  <c r="W72" i="10" s="1"/>
  <c r="AN72" i="10" s="1"/>
  <c r="S72" i="10"/>
  <c r="M72" i="10"/>
  <c r="V72" i="10" s="1"/>
  <c r="AM72" i="10" s="1"/>
  <c r="V71" i="24"/>
  <c r="S45" i="10" l="1"/>
  <c r="Q45" i="10"/>
  <c r="T45" i="10"/>
  <c r="R45" i="10"/>
  <c r="R45" i="40"/>
  <c r="T45" i="40"/>
  <c r="Q45" i="40"/>
  <c r="S45" i="40"/>
  <c r="Q45" i="20"/>
  <c r="S45" i="20"/>
  <c r="R45" i="20"/>
  <c r="T45" i="20"/>
  <c r="B44" i="41"/>
  <c r="C30" i="9"/>
  <c r="B44" i="24"/>
  <c r="B44" i="20"/>
  <c r="D31" i="9"/>
  <c r="B44" i="40"/>
  <c r="B44" i="10"/>
  <c r="R45" i="41"/>
  <c r="T45" i="41"/>
  <c r="Q45" i="41"/>
  <c r="S45" i="41"/>
  <c r="T45" i="24"/>
  <c r="S45" i="24"/>
  <c r="Q45" i="24"/>
  <c r="R45" i="24"/>
  <c r="V72" i="41"/>
  <c r="W72" i="24"/>
  <c r="W72" i="41"/>
  <c r="V72" i="24"/>
  <c r="N73" i="41"/>
  <c r="T73" i="41"/>
  <c r="M73" i="41"/>
  <c r="R73" i="41"/>
  <c r="S73" i="41"/>
  <c r="Q73" i="41"/>
  <c r="Q73" i="40"/>
  <c r="N73" i="40"/>
  <c r="T73" i="40"/>
  <c r="M73" i="40"/>
  <c r="S73" i="40"/>
  <c r="R73" i="40"/>
  <c r="V72" i="40"/>
  <c r="R73" i="24"/>
  <c r="Q73" i="24"/>
  <c r="M73" i="24"/>
  <c r="N73" i="24"/>
  <c r="T73" i="24"/>
  <c r="S73" i="24"/>
  <c r="AG73" i="10"/>
  <c r="AT73" i="10" s="1"/>
  <c r="S73" i="10"/>
  <c r="T73" i="10"/>
  <c r="M73" i="10"/>
  <c r="V73" i="10" s="1"/>
  <c r="AM73" i="10" s="1"/>
  <c r="Q73" i="10"/>
  <c r="AF73" i="10"/>
  <c r="AS73" i="10" s="1"/>
  <c r="N73" i="10"/>
  <c r="W73" i="10" s="1"/>
  <c r="AN73" i="10" s="1"/>
  <c r="R73" i="10"/>
  <c r="R73" i="20"/>
  <c r="T73" i="20"/>
  <c r="Q73" i="20"/>
  <c r="S73" i="20"/>
  <c r="AG73" i="20"/>
  <c r="AF73" i="20"/>
  <c r="B74" i="24"/>
  <c r="C62" i="9"/>
  <c r="B74" i="20"/>
  <c r="D61" i="9"/>
  <c r="B74" i="41"/>
  <c r="B74" i="10"/>
  <c r="B74" i="40"/>
  <c r="W72" i="40"/>
  <c r="T44" i="10" l="1"/>
  <c r="Q44" i="10"/>
  <c r="R44" i="10"/>
  <c r="S44" i="10"/>
  <c r="Q44" i="40"/>
  <c r="S44" i="40"/>
  <c r="R44" i="40"/>
  <c r="T44" i="40"/>
  <c r="Q44" i="20"/>
  <c r="T44" i="20"/>
  <c r="R44" i="20"/>
  <c r="S44" i="20"/>
  <c r="S44" i="24"/>
  <c r="Q44" i="24"/>
  <c r="T44" i="24"/>
  <c r="R44" i="24"/>
  <c r="B43" i="20"/>
  <c r="B43" i="24"/>
  <c r="D30" i="9"/>
  <c r="B43" i="40"/>
  <c r="B43" i="41"/>
  <c r="C29" i="9"/>
  <c r="B43" i="10"/>
  <c r="Q44" i="41"/>
  <c r="S44" i="41"/>
  <c r="R44" i="41"/>
  <c r="T44" i="41"/>
  <c r="W73" i="24"/>
  <c r="V73" i="41"/>
  <c r="V73" i="24"/>
  <c r="W73" i="41"/>
  <c r="V73" i="40"/>
  <c r="M74" i="40"/>
  <c r="S74" i="40"/>
  <c r="Q74" i="40"/>
  <c r="N74" i="40"/>
  <c r="T74" i="40"/>
  <c r="R74" i="40"/>
  <c r="AG74" i="10"/>
  <c r="AT74" i="10" s="1"/>
  <c r="T74" i="10"/>
  <c r="M74" i="10"/>
  <c r="V74" i="10" s="1"/>
  <c r="AM74" i="10" s="1"/>
  <c r="N74" i="10"/>
  <c r="W74" i="10" s="1"/>
  <c r="AN74" i="10" s="1"/>
  <c r="S74" i="10"/>
  <c r="R74" i="10"/>
  <c r="Q74" i="10"/>
  <c r="AF74" i="10"/>
  <c r="AS74" i="10" s="1"/>
  <c r="W73" i="40"/>
  <c r="M74" i="41"/>
  <c r="S74" i="41"/>
  <c r="Q74" i="41"/>
  <c r="N74" i="41"/>
  <c r="T74" i="41"/>
  <c r="R74" i="41"/>
  <c r="Q74" i="20"/>
  <c r="S74" i="20"/>
  <c r="R74" i="20"/>
  <c r="T74" i="20"/>
  <c r="AG74" i="20"/>
  <c r="AF74" i="20"/>
  <c r="D62" i="9"/>
  <c r="B75" i="10"/>
  <c r="B75" i="40"/>
  <c r="C63" i="9"/>
  <c r="B75" i="41"/>
  <c r="B75" i="24"/>
  <c r="B75" i="20"/>
  <c r="R74" i="24"/>
  <c r="N74" i="24"/>
  <c r="Q74" i="24"/>
  <c r="M74" i="24"/>
  <c r="T74" i="24"/>
  <c r="S74" i="24"/>
  <c r="R43" i="41" l="1"/>
  <c r="S43" i="41"/>
  <c r="Q43" i="41"/>
  <c r="T43" i="41"/>
  <c r="T43" i="40"/>
  <c r="R43" i="40"/>
  <c r="Q43" i="40"/>
  <c r="S43" i="40"/>
  <c r="S43" i="24"/>
  <c r="R43" i="24"/>
  <c r="Q43" i="24"/>
  <c r="T43" i="24"/>
  <c r="Q43" i="20"/>
  <c r="R43" i="20"/>
  <c r="T43" i="20"/>
  <c r="S43" i="20"/>
  <c r="S43" i="10"/>
  <c r="R43" i="10"/>
  <c r="Q43" i="10"/>
  <c r="T43" i="10"/>
  <c r="B42" i="41"/>
  <c r="C28" i="9"/>
  <c r="B42" i="10"/>
  <c r="B42" i="20"/>
  <c r="B42" i="24"/>
  <c r="D29" i="9"/>
  <c r="B42" i="40"/>
  <c r="M75" i="40"/>
  <c r="R75" i="40"/>
  <c r="N75" i="40"/>
  <c r="S75" i="40"/>
  <c r="T75" i="40"/>
  <c r="Q75" i="40"/>
  <c r="AG75" i="10"/>
  <c r="AT75" i="10" s="1"/>
  <c r="M75" i="10"/>
  <c r="V75" i="10" s="1"/>
  <c r="AM75" i="10" s="1"/>
  <c r="S75" i="10"/>
  <c r="AF75" i="10"/>
  <c r="AS75" i="10" s="1"/>
  <c r="Q75" i="10"/>
  <c r="T75" i="10"/>
  <c r="N75" i="10"/>
  <c r="W75" i="10" s="1"/>
  <c r="AN75" i="10" s="1"/>
  <c r="R75" i="10"/>
  <c r="W74" i="24"/>
  <c r="T75" i="20"/>
  <c r="S75" i="20"/>
  <c r="R75" i="20"/>
  <c r="Q75" i="20"/>
  <c r="AG75" i="20"/>
  <c r="AF75" i="20"/>
  <c r="W74" i="41"/>
  <c r="W74" i="40"/>
  <c r="V74" i="24"/>
  <c r="M75" i="24"/>
  <c r="Q75" i="24"/>
  <c r="N75" i="24"/>
  <c r="R75" i="24"/>
  <c r="S75" i="24"/>
  <c r="T75" i="24"/>
  <c r="M75" i="41"/>
  <c r="R75" i="41"/>
  <c r="Q75" i="41"/>
  <c r="N75" i="41"/>
  <c r="T75" i="41"/>
  <c r="S75" i="41"/>
  <c r="B76" i="24"/>
  <c r="B76" i="40"/>
  <c r="D63" i="9"/>
  <c r="B76" i="41"/>
  <c r="B76" i="10"/>
  <c r="B76" i="20"/>
  <c r="C64" i="9"/>
  <c r="V74" i="41"/>
  <c r="V74" i="40"/>
  <c r="S42" i="40" l="1"/>
  <c r="Q42" i="40"/>
  <c r="R42" i="40"/>
  <c r="T42" i="40"/>
  <c r="T42" i="24"/>
  <c r="R42" i="24"/>
  <c r="Q42" i="24"/>
  <c r="S42" i="24"/>
  <c r="T42" i="20"/>
  <c r="R42" i="20"/>
  <c r="Q42" i="20"/>
  <c r="S42" i="20"/>
  <c r="T42" i="10"/>
  <c r="R42" i="10"/>
  <c r="Q42" i="10"/>
  <c r="S42" i="10"/>
  <c r="C27" i="9"/>
  <c r="B41" i="40"/>
  <c r="B41" i="41"/>
  <c r="B41" i="10"/>
  <c r="B41" i="20"/>
  <c r="B41" i="24"/>
  <c r="D28" i="9"/>
  <c r="T42" i="41"/>
  <c r="R42" i="41"/>
  <c r="Q42" i="41"/>
  <c r="S42" i="41"/>
  <c r="AU74" i="41"/>
  <c r="AU74" i="40"/>
  <c r="AU74" i="24"/>
  <c r="N76" i="24"/>
  <c r="Q76" i="24"/>
  <c r="R76" i="24"/>
  <c r="M76" i="24"/>
  <c r="S76" i="24"/>
  <c r="T76" i="24"/>
  <c r="W75" i="41"/>
  <c r="V75" i="41"/>
  <c r="B77" i="40"/>
  <c r="B77" i="20"/>
  <c r="B77" i="10"/>
  <c r="B77" i="24"/>
  <c r="C65" i="9"/>
  <c r="D64" i="9"/>
  <c r="B77" i="41"/>
  <c r="W75" i="24"/>
  <c r="S76" i="20"/>
  <c r="R76" i="20"/>
  <c r="Q76" i="20"/>
  <c r="T76" i="20"/>
  <c r="AG76" i="20"/>
  <c r="AF76" i="20"/>
  <c r="AG76" i="10"/>
  <c r="AT76" i="10" s="1"/>
  <c r="AF76" i="10"/>
  <c r="AS76" i="10" s="1"/>
  <c r="R76" i="10"/>
  <c r="N76" i="10"/>
  <c r="W76" i="10" s="1"/>
  <c r="AN76" i="10" s="1"/>
  <c r="S76" i="10"/>
  <c r="Q76" i="10"/>
  <c r="M76" i="10"/>
  <c r="V76" i="10" s="1"/>
  <c r="AM76" i="10" s="1"/>
  <c r="T76" i="10"/>
  <c r="V75" i="24"/>
  <c r="W75" i="40"/>
  <c r="M76" i="41"/>
  <c r="Q76" i="41"/>
  <c r="R76" i="41"/>
  <c r="T76" i="41"/>
  <c r="N76" i="41"/>
  <c r="S76" i="41"/>
  <c r="V75" i="40"/>
  <c r="T76" i="40"/>
  <c r="R76" i="40"/>
  <c r="N76" i="40"/>
  <c r="S76" i="40"/>
  <c r="Q76" i="40"/>
  <c r="M76" i="40"/>
  <c r="Q41" i="20" l="1"/>
  <c r="S41" i="20"/>
  <c r="R41" i="20"/>
  <c r="T41" i="20"/>
  <c r="R41" i="10"/>
  <c r="T41" i="10"/>
  <c r="S41" i="10"/>
  <c r="Q41" i="10"/>
  <c r="R41" i="41"/>
  <c r="T41" i="41"/>
  <c r="Q41" i="41"/>
  <c r="S41" i="41"/>
  <c r="Q41" i="40"/>
  <c r="S41" i="40"/>
  <c r="T41" i="40"/>
  <c r="R41" i="40"/>
  <c r="B40" i="10"/>
  <c r="B40" i="41"/>
  <c r="B40" i="20"/>
  <c r="B40" i="24"/>
  <c r="D27" i="9"/>
  <c r="C26" i="9"/>
  <c r="B40" i="40"/>
  <c r="S41" i="24"/>
  <c r="Q41" i="24"/>
  <c r="R41" i="24"/>
  <c r="T41" i="24"/>
  <c r="AG77" i="10"/>
  <c r="AT77" i="10" s="1"/>
  <c r="R77" i="10"/>
  <c r="Q77" i="10"/>
  <c r="T77" i="10"/>
  <c r="AF77" i="10"/>
  <c r="AS77" i="10" s="1"/>
  <c r="N77" i="10"/>
  <c r="W77" i="10" s="1"/>
  <c r="AN77" i="10" s="1"/>
  <c r="M77" i="10"/>
  <c r="V77" i="10" s="1"/>
  <c r="AM77" i="10" s="1"/>
  <c r="S77" i="10"/>
  <c r="W76" i="41"/>
  <c r="R77" i="20"/>
  <c r="T77" i="20"/>
  <c r="S77" i="20"/>
  <c r="Q77" i="20"/>
  <c r="AG77" i="20"/>
  <c r="AF77" i="20"/>
  <c r="S77" i="40"/>
  <c r="M77" i="40"/>
  <c r="Q77" i="40"/>
  <c r="T77" i="40"/>
  <c r="R77" i="40"/>
  <c r="N77" i="40"/>
  <c r="V76" i="41"/>
  <c r="V76" i="40"/>
  <c r="W76" i="40"/>
  <c r="Q77" i="41"/>
  <c r="S77" i="41"/>
  <c r="M77" i="41"/>
  <c r="R77" i="41"/>
  <c r="T77" i="41"/>
  <c r="N77" i="41"/>
  <c r="V76" i="24"/>
  <c r="B78" i="20"/>
  <c r="B78" i="10"/>
  <c r="C66" i="9"/>
  <c r="B78" i="24"/>
  <c r="B78" i="40"/>
  <c r="B78" i="41"/>
  <c r="D65" i="9"/>
  <c r="N77" i="24"/>
  <c r="Q77" i="24"/>
  <c r="R77" i="24"/>
  <c r="M77" i="24"/>
  <c r="S77" i="24"/>
  <c r="T77" i="24"/>
  <c r="W76" i="24"/>
  <c r="Q40" i="40" l="1"/>
  <c r="S40" i="40"/>
  <c r="T40" i="40"/>
  <c r="R40" i="40"/>
  <c r="C25" i="9"/>
  <c r="B39" i="20"/>
  <c r="B39" i="10"/>
  <c r="B39" i="24"/>
  <c r="B39" i="41"/>
  <c r="D26" i="9"/>
  <c r="B39" i="40"/>
  <c r="T40" i="24"/>
  <c r="Q40" i="24"/>
  <c r="S40" i="24"/>
  <c r="R40" i="24"/>
  <c r="S40" i="20"/>
  <c r="T40" i="20"/>
  <c r="R40" i="20"/>
  <c r="Q40" i="20"/>
  <c r="T40" i="41"/>
  <c r="R40" i="41"/>
  <c r="Q40" i="41"/>
  <c r="S40" i="41"/>
  <c r="Q40" i="10"/>
  <c r="T40" i="10"/>
  <c r="S40" i="10"/>
  <c r="R40" i="10"/>
  <c r="Q78" i="41"/>
  <c r="M78" i="41"/>
  <c r="S78" i="41"/>
  <c r="N78" i="41"/>
  <c r="R78" i="41"/>
  <c r="T78" i="41"/>
  <c r="N78" i="40"/>
  <c r="S78" i="40"/>
  <c r="M78" i="40"/>
  <c r="Q78" i="40"/>
  <c r="T78" i="40"/>
  <c r="R78" i="40"/>
  <c r="N78" i="24"/>
  <c r="R78" i="24"/>
  <c r="M78" i="24"/>
  <c r="Q78" i="24"/>
  <c r="T78" i="24"/>
  <c r="S78" i="24"/>
  <c r="R78" i="20"/>
  <c r="T78" i="20"/>
  <c r="S78" i="20"/>
  <c r="Q78" i="20"/>
  <c r="AG78" i="20"/>
  <c r="AF78" i="20"/>
  <c r="AG78" i="10"/>
  <c r="AT78" i="10" s="1"/>
  <c r="R78" i="10"/>
  <c r="S78" i="10"/>
  <c r="M78" i="10"/>
  <c r="V78" i="10" s="1"/>
  <c r="AM78" i="10" s="1"/>
  <c r="N78" i="10"/>
  <c r="W78" i="10" s="1"/>
  <c r="AN78" i="10" s="1"/>
  <c r="Q78" i="10"/>
  <c r="AF78" i="10"/>
  <c r="AS78" i="10" s="1"/>
  <c r="T78" i="10"/>
  <c r="W77" i="41"/>
  <c r="D66" i="9"/>
  <c r="B79" i="24"/>
  <c r="B79" i="10"/>
  <c r="C67" i="9"/>
  <c r="B79" i="40"/>
  <c r="B79" i="41"/>
  <c r="B79" i="20"/>
  <c r="W77" i="40"/>
  <c r="V77" i="41"/>
  <c r="V77" i="24"/>
  <c r="W77" i="24"/>
  <c r="V77" i="40"/>
  <c r="S39" i="40" l="1"/>
  <c r="T39" i="40"/>
  <c r="Q39" i="40"/>
  <c r="R39" i="40"/>
  <c r="S39" i="41"/>
  <c r="R39" i="41"/>
  <c r="Q39" i="41"/>
  <c r="T39" i="41"/>
  <c r="S39" i="24"/>
  <c r="T39" i="24"/>
  <c r="R39" i="24"/>
  <c r="Q39" i="24"/>
  <c r="T39" i="10"/>
  <c r="R39" i="10"/>
  <c r="S39" i="10"/>
  <c r="Q39" i="10"/>
  <c r="T39" i="20"/>
  <c r="R39" i="20"/>
  <c r="Q39" i="20"/>
  <c r="S39" i="20"/>
  <c r="C24" i="9"/>
  <c r="B38" i="41"/>
  <c r="B38" i="20"/>
  <c r="B38" i="24"/>
  <c r="D25" i="9"/>
  <c r="B38" i="40"/>
  <c r="B38" i="10"/>
  <c r="V78" i="24"/>
  <c r="V78" i="41"/>
  <c r="Q79" i="20"/>
  <c r="T79" i="20"/>
  <c r="R79" i="20"/>
  <c r="S79" i="20"/>
  <c r="AG79" i="20"/>
  <c r="AF79" i="20"/>
  <c r="R79" i="41"/>
  <c r="N79" i="41"/>
  <c r="T79" i="41"/>
  <c r="M79" i="41"/>
  <c r="S79" i="41"/>
  <c r="Q79" i="41"/>
  <c r="W78" i="24"/>
  <c r="B80" i="41"/>
  <c r="B80" i="40"/>
  <c r="B80" i="20"/>
  <c r="D67" i="9"/>
  <c r="B80" i="10"/>
  <c r="C68" i="9"/>
  <c r="B80" i="24"/>
  <c r="N79" i="10"/>
  <c r="W79" i="10" s="1"/>
  <c r="AN79" i="10" s="1"/>
  <c r="T79" i="10"/>
  <c r="S79" i="10"/>
  <c r="Q79" i="10"/>
  <c r="M79" i="10"/>
  <c r="V79" i="10" s="1"/>
  <c r="AM79" i="10" s="1"/>
  <c r="R79" i="10"/>
  <c r="AF79" i="10"/>
  <c r="AS79" i="10" s="1"/>
  <c r="AG79" i="10"/>
  <c r="AT79" i="10" s="1"/>
  <c r="Q79" i="40"/>
  <c r="T79" i="40"/>
  <c r="S79" i="40"/>
  <c r="R79" i="40"/>
  <c r="M79" i="40"/>
  <c r="N79" i="40"/>
  <c r="N79" i="24"/>
  <c r="R79" i="24"/>
  <c r="M79" i="24"/>
  <c r="Q79" i="24"/>
  <c r="S79" i="24"/>
  <c r="T79" i="24"/>
  <c r="V78" i="40"/>
  <c r="W78" i="40"/>
  <c r="W78" i="41"/>
  <c r="Q38" i="20" l="1"/>
  <c r="T38" i="20"/>
  <c r="S38" i="20"/>
  <c r="R38" i="20"/>
  <c r="S38" i="41"/>
  <c r="Q38" i="41"/>
  <c r="T38" i="41"/>
  <c r="R38" i="41"/>
  <c r="B37" i="40"/>
  <c r="B37" i="20"/>
  <c r="B37" i="10"/>
  <c r="B37" i="24"/>
  <c r="D24" i="9"/>
  <c r="C23" i="9"/>
  <c r="B37" i="41"/>
  <c r="S38" i="10"/>
  <c r="Q38" i="10"/>
  <c r="T38" i="10"/>
  <c r="R38" i="10"/>
  <c r="T38" i="40"/>
  <c r="R38" i="40"/>
  <c r="S38" i="40"/>
  <c r="Q38" i="40"/>
  <c r="R38" i="24"/>
  <c r="T38" i="24"/>
  <c r="Q38" i="24"/>
  <c r="S38" i="24"/>
  <c r="V79" i="41"/>
  <c r="V79" i="24"/>
  <c r="W79" i="41"/>
  <c r="AU79" i="41" s="1"/>
  <c r="Q80" i="24"/>
  <c r="N80" i="24"/>
  <c r="M80" i="24"/>
  <c r="R80" i="24"/>
  <c r="T80" i="24"/>
  <c r="S80" i="24"/>
  <c r="W79" i="24"/>
  <c r="AU79" i="24" s="1"/>
  <c r="B81" i="40"/>
  <c r="B81" i="24"/>
  <c r="B81" i="41"/>
  <c r="B81" i="20"/>
  <c r="D68" i="9"/>
  <c r="C69" i="9"/>
  <c r="B81" i="10"/>
  <c r="W79" i="40"/>
  <c r="AU79" i="40" s="1"/>
  <c r="AG80" i="10"/>
  <c r="AT80" i="10" s="1"/>
  <c r="M80" i="10"/>
  <c r="V80" i="10" s="1"/>
  <c r="AM80" i="10" s="1"/>
  <c r="Q80" i="10"/>
  <c r="T80" i="10"/>
  <c r="N80" i="10"/>
  <c r="W80" i="10" s="1"/>
  <c r="AN80" i="10" s="1"/>
  <c r="R80" i="10"/>
  <c r="S80" i="10"/>
  <c r="AF80" i="10"/>
  <c r="AS80" i="10" s="1"/>
  <c r="V79" i="40"/>
  <c r="Q80" i="20"/>
  <c r="T80" i="20"/>
  <c r="R80" i="20"/>
  <c r="S80" i="20"/>
  <c r="AG80" i="20"/>
  <c r="AF80" i="20"/>
  <c r="R80" i="40"/>
  <c r="S80" i="40"/>
  <c r="Q80" i="40"/>
  <c r="T80" i="40"/>
  <c r="N80" i="40"/>
  <c r="M80" i="40"/>
  <c r="R80" i="41"/>
  <c r="M80" i="41"/>
  <c r="S80" i="41"/>
  <c r="Q80" i="41"/>
  <c r="N80" i="41"/>
  <c r="T80" i="41"/>
  <c r="S37" i="24" l="1"/>
  <c r="Q37" i="24"/>
  <c r="R37" i="24"/>
  <c r="T37" i="24"/>
  <c r="S37" i="10"/>
  <c r="R37" i="10"/>
  <c r="T37" i="10"/>
  <c r="Q37" i="10"/>
  <c r="R37" i="20"/>
  <c r="Q37" i="20"/>
  <c r="S37" i="20"/>
  <c r="T37" i="20"/>
  <c r="Q37" i="40"/>
  <c r="S37" i="40"/>
  <c r="T37" i="40"/>
  <c r="R37" i="40"/>
  <c r="T37" i="41"/>
  <c r="Q37" i="41"/>
  <c r="S37" i="41"/>
  <c r="R37" i="41"/>
  <c r="B36" i="40"/>
  <c r="B36" i="10"/>
  <c r="B36" i="24"/>
  <c r="B36" i="20"/>
  <c r="D23" i="9"/>
  <c r="C22" i="9"/>
  <c r="B36" i="41"/>
  <c r="AT79" i="41"/>
  <c r="AT79" i="40"/>
  <c r="AT79" i="24"/>
  <c r="V80" i="24"/>
  <c r="W80" i="41"/>
  <c r="W80" i="24"/>
  <c r="AG81" i="10"/>
  <c r="AT81" i="10" s="1"/>
  <c r="M81" i="10"/>
  <c r="V81" i="10" s="1"/>
  <c r="AM81" i="10" s="1"/>
  <c r="Q81" i="10"/>
  <c r="T81" i="10"/>
  <c r="S81" i="10"/>
  <c r="AF81" i="10"/>
  <c r="AS81" i="10" s="1"/>
  <c r="N81" i="10"/>
  <c r="W81" i="10" s="1"/>
  <c r="AN81" i="10" s="1"/>
  <c r="R81" i="10"/>
  <c r="V80" i="41"/>
  <c r="B82" i="41"/>
  <c r="B82" i="40"/>
  <c r="D69" i="9"/>
  <c r="C70" i="9"/>
  <c r="B82" i="24"/>
  <c r="B82" i="10"/>
  <c r="B82" i="20"/>
  <c r="M81" i="40"/>
  <c r="S81" i="40"/>
  <c r="N81" i="40"/>
  <c r="R81" i="40"/>
  <c r="T81" i="40"/>
  <c r="Q81" i="40"/>
  <c r="V80" i="40"/>
  <c r="T81" i="20"/>
  <c r="Q81" i="20"/>
  <c r="R81" i="20"/>
  <c r="S81" i="20"/>
  <c r="AG81" i="20"/>
  <c r="AF81" i="20"/>
  <c r="W80" i="40"/>
  <c r="R81" i="41"/>
  <c r="M81" i="41"/>
  <c r="N81" i="41"/>
  <c r="S81" i="41"/>
  <c r="T81" i="41"/>
  <c r="Q81" i="41"/>
  <c r="R81" i="24"/>
  <c r="M81" i="24"/>
  <c r="N81" i="24"/>
  <c r="Q81" i="24"/>
  <c r="S81" i="24"/>
  <c r="T81" i="24"/>
  <c r="T36" i="41" l="1"/>
  <c r="Q36" i="41"/>
  <c r="R36" i="41"/>
  <c r="S36" i="41"/>
  <c r="B35" i="20"/>
  <c r="B35" i="10"/>
  <c r="D22" i="9"/>
  <c r="B35" i="41"/>
  <c r="B35" i="40"/>
  <c r="B35" i="24"/>
  <c r="C21" i="9"/>
  <c r="Q36" i="24"/>
  <c r="R36" i="24"/>
  <c r="S36" i="24"/>
  <c r="T36" i="24"/>
  <c r="T36" i="20"/>
  <c r="Q36" i="20"/>
  <c r="R36" i="20"/>
  <c r="S36" i="20"/>
  <c r="S36" i="10"/>
  <c r="Q36" i="10"/>
  <c r="T36" i="10"/>
  <c r="R36" i="10"/>
  <c r="Q36" i="40"/>
  <c r="T36" i="40"/>
  <c r="S36" i="40"/>
  <c r="R36" i="40"/>
  <c r="V81" i="41"/>
  <c r="W81" i="40"/>
  <c r="V81" i="40"/>
  <c r="Q82" i="20"/>
  <c r="R82" i="20"/>
  <c r="T82" i="20"/>
  <c r="S82" i="20"/>
  <c r="AG82" i="20"/>
  <c r="AF82" i="20"/>
  <c r="AG82" i="10"/>
  <c r="AT82" i="10" s="1"/>
  <c r="S82" i="10"/>
  <c r="N82" i="10"/>
  <c r="W82" i="10" s="1"/>
  <c r="AN82" i="10" s="1"/>
  <c r="Q82" i="10"/>
  <c r="T82" i="10"/>
  <c r="AF82" i="10"/>
  <c r="AS82" i="10" s="1"/>
  <c r="M82" i="10"/>
  <c r="V82" i="10" s="1"/>
  <c r="AM82" i="10" s="1"/>
  <c r="R82" i="10"/>
  <c r="Q82" i="24"/>
  <c r="M82" i="24"/>
  <c r="R82" i="24"/>
  <c r="S82" i="24"/>
  <c r="T82" i="24"/>
  <c r="N82" i="24"/>
  <c r="B83" i="24"/>
  <c r="D70" i="9"/>
  <c r="C71" i="9"/>
  <c r="B83" i="41"/>
  <c r="B83" i="20"/>
  <c r="B83" i="40"/>
  <c r="B83" i="10"/>
  <c r="R82" i="40"/>
  <c r="N82" i="40"/>
  <c r="T82" i="40"/>
  <c r="M82" i="40"/>
  <c r="S82" i="40"/>
  <c r="Q82" i="40"/>
  <c r="W81" i="24"/>
  <c r="M82" i="41"/>
  <c r="S82" i="41"/>
  <c r="Q82" i="41"/>
  <c r="N82" i="41"/>
  <c r="T82" i="41"/>
  <c r="R82" i="41"/>
  <c r="V81" i="24"/>
  <c r="W81" i="41"/>
  <c r="C20" i="9" l="1"/>
  <c r="B34" i="10"/>
  <c r="B34" i="20"/>
  <c r="B34" i="41"/>
  <c r="B34" i="24"/>
  <c r="D21" i="9"/>
  <c r="B34" i="40"/>
  <c r="Q35" i="24"/>
  <c r="S35" i="24"/>
  <c r="R35" i="24"/>
  <c r="T35" i="24"/>
  <c r="T35" i="40"/>
  <c r="Q35" i="40"/>
  <c r="S35" i="40"/>
  <c r="R35" i="40"/>
  <c r="Q35" i="41"/>
  <c r="S35" i="41"/>
  <c r="T35" i="41"/>
  <c r="R35" i="41"/>
  <c r="S35" i="10"/>
  <c r="R35" i="10"/>
  <c r="Q35" i="10"/>
  <c r="T35" i="10"/>
  <c r="R35" i="20"/>
  <c r="S35" i="20"/>
  <c r="Q35" i="20"/>
  <c r="T35" i="20"/>
  <c r="M83" i="24"/>
  <c r="Q83" i="24"/>
  <c r="N83" i="24"/>
  <c r="R83" i="24"/>
  <c r="S83" i="24"/>
  <c r="T83" i="24"/>
  <c r="V82" i="41"/>
  <c r="W82" i="24"/>
  <c r="V82" i="40"/>
  <c r="V82" i="24"/>
  <c r="W82" i="40"/>
  <c r="AG83" i="10"/>
  <c r="AT83" i="10" s="1"/>
  <c r="N83" i="10"/>
  <c r="W83" i="10" s="1"/>
  <c r="AN83" i="10" s="1"/>
  <c r="S83" i="10"/>
  <c r="R83" i="10"/>
  <c r="AF83" i="10"/>
  <c r="AS83" i="10" s="1"/>
  <c r="M83" i="10"/>
  <c r="V83" i="10" s="1"/>
  <c r="AM83" i="10" s="1"/>
  <c r="Q83" i="10"/>
  <c r="T83" i="10"/>
  <c r="N83" i="40"/>
  <c r="R83" i="40"/>
  <c r="M83" i="40"/>
  <c r="T83" i="40"/>
  <c r="Q83" i="40"/>
  <c r="S83" i="40"/>
  <c r="S83" i="20"/>
  <c r="T83" i="20"/>
  <c r="R83" i="20"/>
  <c r="Q83" i="20"/>
  <c r="AG83" i="20"/>
  <c r="AF83" i="20"/>
  <c r="T83" i="41"/>
  <c r="M83" i="41"/>
  <c r="S83" i="41"/>
  <c r="Q83" i="41"/>
  <c r="R83" i="41"/>
  <c r="N83" i="41"/>
  <c r="W82" i="41"/>
  <c r="B84" i="24"/>
  <c r="D71" i="9"/>
  <c r="B84" i="20"/>
  <c r="C72" i="9"/>
  <c r="B84" i="10"/>
  <c r="B84" i="40"/>
  <c r="B84" i="41"/>
  <c r="S34" i="40" l="1"/>
  <c r="Q34" i="40"/>
  <c r="R34" i="40"/>
  <c r="T34" i="40"/>
  <c r="Q34" i="24"/>
  <c r="S34" i="24"/>
  <c r="T34" i="24"/>
  <c r="R34" i="24"/>
  <c r="S34" i="41"/>
  <c r="Q34" i="41"/>
  <c r="T34" i="41"/>
  <c r="R34" i="41"/>
  <c r="R34" i="20"/>
  <c r="S34" i="20"/>
  <c r="T34" i="20"/>
  <c r="Q34" i="20"/>
  <c r="S34" i="10"/>
  <c r="Q34" i="10"/>
  <c r="T34" i="10"/>
  <c r="R34" i="10"/>
  <c r="D20" i="9"/>
  <c r="B33" i="24"/>
  <c r="B33" i="40"/>
  <c r="B33" i="41"/>
  <c r="B33" i="20"/>
  <c r="C19" i="9"/>
  <c r="B33" i="10"/>
  <c r="W83" i="40"/>
  <c r="V83" i="41"/>
  <c r="T84" i="41"/>
  <c r="N84" i="41"/>
  <c r="M84" i="41"/>
  <c r="Q84" i="41"/>
  <c r="S84" i="41"/>
  <c r="R84" i="41"/>
  <c r="N84" i="40"/>
  <c r="T84" i="40"/>
  <c r="R84" i="40"/>
  <c r="M84" i="40"/>
  <c r="S84" i="40"/>
  <c r="Q84" i="40"/>
  <c r="AG84" i="10"/>
  <c r="AT84" i="10" s="1"/>
  <c r="Q84" i="10"/>
  <c r="T84" i="10"/>
  <c r="N84" i="10"/>
  <c r="W84" i="10" s="1"/>
  <c r="AN84" i="10" s="1"/>
  <c r="R84" i="10"/>
  <c r="M84" i="10"/>
  <c r="V84" i="10" s="1"/>
  <c r="AM84" i="10" s="1"/>
  <c r="S84" i="10"/>
  <c r="AF84" i="10"/>
  <c r="AS84" i="10" s="1"/>
  <c r="D72" i="9"/>
  <c r="B85" i="20"/>
  <c r="C73" i="9"/>
  <c r="B85" i="24"/>
  <c r="B85" i="41"/>
  <c r="B85" i="40"/>
  <c r="B85" i="10"/>
  <c r="S84" i="20"/>
  <c r="R84" i="20"/>
  <c r="Q84" i="20"/>
  <c r="T84" i="20"/>
  <c r="AG84" i="20"/>
  <c r="AF84" i="20"/>
  <c r="W83" i="24"/>
  <c r="M84" i="24"/>
  <c r="Q84" i="24"/>
  <c r="N84" i="24"/>
  <c r="S84" i="24"/>
  <c r="T84" i="24"/>
  <c r="R84" i="24"/>
  <c r="V83" i="24"/>
  <c r="V83" i="40"/>
  <c r="W83" i="41"/>
  <c r="S33" i="10" l="1"/>
  <c r="Q33" i="10"/>
  <c r="T33" i="10"/>
  <c r="R33" i="10"/>
  <c r="D19" i="9"/>
  <c r="B32" i="20"/>
  <c r="B32" i="10"/>
  <c r="B32" i="40"/>
  <c r="B32" i="41"/>
  <c r="C18" i="9"/>
  <c r="B32" i="24"/>
  <c r="R33" i="20"/>
  <c r="Q33" i="20"/>
  <c r="S33" i="20"/>
  <c r="T33" i="20"/>
  <c r="Q33" i="41"/>
  <c r="S33" i="41"/>
  <c r="R33" i="41"/>
  <c r="T33" i="41"/>
  <c r="R33" i="40"/>
  <c r="S33" i="40"/>
  <c r="Q33" i="40"/>
  <c r="T33" i="40"/>
  <c r="R33" i="24"/>
  <c r="T33" i="24"/>
  <c r="S33" i="24"/>
  <c r="Q33" i="24"/>
  <c r="W84" i="24"/>
  <c r="B86" i="40"/>
  <c r="B86" i="41"/>
  <c r="B86" i="24"/>
  <c r="B86" i="10"/>
  <c r="C74" i="9"/>
  <c r="D73" i="9"/>
  <c r="B86" i="20"/>
  <c r="T85" i="20"/>
  <c r="R85" i="20"/>
  <c r="Q85" i="20"/>
  <c r="S85" i="20"/>
  <c r="AG85" i="20"/>
  <c r="AF85" i="20"/>
  <c r="V84" i="24"/>
  <c r="W84" i="40"/>
  <c r="V84" i="41"/>
  <c r="W84" i="41"/>
  <c r="AG85" i="10"/>
  <c r="AT85" i="10" s="1"/>
  <c r="N85" i="10"/>
  <c r="W85" i="10" s="1"/>
  <c r="AN85" i="10" s="1"/>
  <c r="M85" i="10"/>
  <c r="V85" i="10" s="1"/>
  <c r="AM85" i="10" s="1"/>
  <c r="T85" i="10"/>
  <c r="Q85" i="10"/>
  <c r="AF85" i="10"/>
  <c r="AS85" i="10" s="1"/>
  <c r="R85" i="10"/>
  <c r="S85" i="10"/>
  <c r="N85" i="40"/>
  <c r="M85" i="40"/>
  <c r="T85" i="40"/>
  <c r="Q85" i="40"/>
  <c r="R85" i="40"/>
  <c r="S85" i="40"/>
  <c r="M85" i="41"/>
  <c r="N85" i="41"/>
  <c r="Q85" i="41"/>
  <c r="T85" i="41"/>
  <c r="R85" i="41"/>
  <c r="S85" i="41"/>
  <c r="Q85" i="24"/>
  <c r="R85" i="24"/>
  <c r="M85" i="24"/>
  <c r="S85" i="24"/>
  <c r="T85" i="24"/>
  <c r="N85" i="24"/>
  <c r="V84" i="40"/>
  <c r="Q32" i="24" l="1"/>
  <c r="T32" i="24"/>
  <c r="R32" i="24"/>
  <c r="S32" i="24"/>
  <c r="B31" i="41"/>
  <c r="B31" i="40"/>
  <c r="B31" i="20"/>
  <c r="C17" i="9"/>
  <c r="B31" i="10"/>
  <c r="D18" i="9"/>
  <c r="B31" i="24"/>
  <c r="R32" i="41"/>
  <c r="S32" i="41"/>
  <c r="Q32" i="41"/>
  <c r="T32" i="41"/>
  <c r="Q32" i="40"/>
  <c r="S32" i="40"/>
  <c r="R32" i="40"/>
  <c r="T32" i="40"/>
  <c r="T32" i="10"/>
  <c r="R32" i="10"/>
  <c r="Q32" i="10"/>
  <c r="S32" i="10"/>
  <c r="Q32" i="20"/>
  <c r="R32" i="20"/>
  <c r="S32" i="20"/>
  <c r="T32" i="20"/>
  <c r="W85" i="24"/>
  <c r="W85" i="41"/>
  <c r="V85" i="41"/>
  <c r="S86" i="20"/>
  <c r="T86" i="20"/>
  <c r="Q86" i="20"/>
  <c r="R86" i="20"/>
  <c r="AG86" i="20"/>
  <c r="AF86" i="20"/>
  <c r="V85" i="40"/>
  <c r="B87" i="10"/>
  <c r="C75" i="9"/>
  <c r="B87" i="24"/>
  <c r="D74" i="9"/>
  <c r="B87" i="20"/>
  <c r="B87" i="40"/>
  <c r="B87" i="41"/>
  <c r="W85" i="40"/>
  <c r="V85" i="24"/>
  <c r="AG86" i="10"/>
  <c r="AT86" i="10" s="1"/>
  <c r="T86" i="10"/>
  <c r="AF86" i="10"/>
  <c r="AS86" i="10" s="1"/>
  <c r="R86" i="10"/>
  <c r="N86" i="10"/>
  <c r="W86" i="10" s="1"/>
  <c r="AN86" i="10" s="1"/>
  <c r="Q86" i="10"/>
  <c r="M86" i="10"/>
  <c r="V86" i="10" s="1"/>
  <c r="AM86" i="10" s="1"/>
  <c r="S86" i="10"/>
  <c r="N86" i="24"/>
  <c r="R86" i="24"/>
  <c r="M86" i="24"/>
  <c r="Q86" i="24"/>
  <c r="S86" i="24"/>
  <c r="T86" i="24"/>
  <c r="T86" i="41"/>
  <c r="R86" i="41"/>
  <c r="N86" i="41"/>
  <c r="M86" i="41"/>
  <c r="Q86" i="41"/>
  <c r="S86" i="41"/>
  <c r="Q86" i="40"/>
  <c r="M86" i="40"/>
  <c r="T86" i="40"/>
  <c r="R86" i="40"/>
  <c r="N86" i="40"/>
  <c r="S86" i="40"/>
  <c r="S31" i="20" l="1"/>
  <c r="T31" i="20"/>
  <c r="R31" i="20"/>
  <c r="Q31" i="20"/>
  <c r="T31" i="40"/>
  <c r="R31" i="40"/>
  <c r="Q31" i="40"/>
  <c r="S31" i="40"/>
  <c r="S31" i="41"/>
  <c r="Q31" i="41"/>
  <c r="T31" i="41"/>
  <c r="R31" i="41"/>
  <c r="S31" i="24"/>
  <c r="Q31" i="24"/>
  <c r="R31" i="24"/>
  <c r="T31" i="24"/>
  <c r="S31" i="10"/>
  <c r="Q31" i="10"/>
  <c r="T31" i="10"/>
  <c r="R31" i="10"/>
  <c r="B30" i="10"/>
  <c r="D17" i="9"/>
  <c r="B30" i="20"/>
  <c r="B30" i="41"/>
  <c r="B30" i="40"/>
  <c r="B30" i="24"/>
  <c r="C16" i="9"/>
  <c r="V86" i="24"/>
  <c r="M87" i="41"/>
  <c r="T87" i="41"/>
  <c r="N87" i="41"/>
  <c r="R87" i="41"/>
  <c r="S87" i="41"/>
  <c r="Q87" i="41"/>
  <c r="M87" i="40"/>
  <c r="S87" i="40"/>
  <c r="Q87" i="40"/>
  <c r="R87" i="40"/>
  <c r="T87" i="40"/>
  <c r="N87" i="40"/>
  <c r="W86" i="40"/>
  <c r="W86" i="24"/>
  <c r="S87" i="20"/>
  <c r="Q87" i="20"/>
  <c r="R87" i="20"/>
  <c r="T87" i="20"/>
  <c r="AG87" i="20"/>
  <c r="AF87" i="20"/>
  <c r="N87" i="24"/>
  <c r="R87" i="24"/>
  <c r="Q87" i="24"/>
  <c r="M87" i="24"/>
  <c r="S87" i="24"/>
  <c r="T87" i="24"/>
  <c r="V86" i="40"/>
  <c r="B88" i="41"/>
  <c r="B88" i="40"/>
  <c r="D75" i="9"/>
  <c r="B88" i="20"/>
  <c r="B88" i="10"/>
  <c r="C76" i="9"/>
  <c r="B88" i="24"/>
  <c r="AG87" i="10"/>
  <c r="AT87" i="10" s="1"/>
  <c r="Q87" i="10"/>
  <c r="T87" i="10"/>
  <c r="M87" i="10"/>
  <c r="V87" i="10" s="1"/>
  <c r="AM87" i="10" s="1"/>
  <c r="R87" i="10"/>
  <c r="AF87" i="10"/>
  <c r="AS87" i="10" s="1"/>
  <c r="S87" i="10"/>
  <c r="N87" i="10"/>
  <c r="W87" i="10" s="1"/>
  <c r="AN87" i="10" s="1"/>
  <c r="V86" i="41"/>
  <c r="W86" i="41"/>
  <c r="B29" i="40" l="1"/>
  <c r="C15" i="9"/>
  <c r="B29" i="10"/>
  <c r="B29" i="20"/>
  <c r="D16" i="9"/>
  <c r="B29" i="24"/>
  <c r="B29" i="41"/>
  <c r="T30" i="24"/>
  <c r="S30" i="24"/>
  <c r="Q30" i="24"/>
  <c r="R30" i="24"/>
  <c r="S30" i="40"/>
  <c r="Q30" i="40"/>
  <c r="T30" i="40"/>
  <c r="R30" i="40"/>
  <c r="Q30" i="41"/>
  <c r="S30" i="41"/>
  <c r="T30" i="41"/>
  <c r="R30" i="41"/>
  <c r="Q30" i="20"/>
  <c r="T30" i="20"/>
  <c r="R30" i="20"/>
  <c r="S30" i="20"/>
  <c r="Q30" i="10"/>
  <c r="T30" i="10"/>
  <c r="S30" i="10"/>
  <c r="R30" i="10"/>
  <c r="W87" i="24"/>
  <c r="R88" i="24"/>
  <c r="N88" i="24"/>
  <c r="Q88" i="24"/>
  <c r="M88" i="24"/>
  <c r="T88" i="24"/>
  <c r="S88" i="24"/>
  <c r="C77" i="9"/>
  <c r="D76" i="9"/>
  <c r="B89" i="24"/>
  <c r="B89" i="10"/>
  <c r="B89" i="20"/>
  <c r="B89" i="40"/>
  <c r="B89" i="41"/>
  <c r="V87" i="40"/>
  <c r="S88" i="20"/>
  <c r="Q88" i="20"/>
  <c r="T88" i="20"/>
  <c r="R88" i="20"/>
  <c r="AG88" i="20"/>
  <c r="AF88" i="20"/>
  <c r="AG88" i="10"/>
  <c r="AT88" i="10" s="1"/>
  <c r="T88" i="10"/>
  <c r="N88" i="10"/>
  <c r="W88" i="10" s="1"/>
  <c r="AN88" i="10" s="1"/>
  <c r="R88" i="10"/>
  <c r="M88" i="10"/>
  <c r="V88" i="10" s="1"/>
  <c r="AM88" i="10" s="1"/>
  <c r="Q88" i="10"/>
  <c r="AF88" i="10"/>
  <c r="AS88" i="10" s="1"/>
  <c r="S88" i="10"/>
  <c r="S88" i="40"/>
  <c r="T88" i="40"/>
  <c r="R88" i="40"/>
  <c r="N88" i="40"/>
  <c r="M88" i="40"/>
  <c r="Q88" i="40"/>
  <c r="S88" i="41"/>
  <c r="Q88" i="41"/>
  <c r="R88" i="41"/>
  <c r="M88" i="41"/>
  <c r="N88" i="41"/>
  <c r="T88" i="41"/>
  <c r="W87" i="41"/>
  <c r="W87" i="40"/>
  <c r="V87" i="41"/>
  <c r="V87" i="24"/>
  <c r="S29" i="41" l="1"/>
  <c r="R29" i="41"/>
  <c r="T29" i="41"/>
  <c r="Q29" i="41"/>
  <c r="S29" i="24"/>
  <c r="Q29" i="24"/>
  <c r="T29" i="24"/>
  <c r="R29" i="24"/>
  <c r="T29" i="20"/>
  <c r="R29" i="20"/>
  <c r="Q29" i="20"/>
  <c r="S29" i="20"/>
  <c r="S29" i="10"/>
  <c r="Q29" i="10"/>
  <c r="T29" i="10"/>
  <c r="R29" i="10"/>
  <c r="B28" i="20"/>
  <c r="B28" i="24"/>
  <c r="B28" i="40"/>
  <c r="B28" i="41"/>
  <c r="D15" i="9"/>
  <c r="B28" i="10"/>
  <c r="C14" i="9"/>
  <c r="S29" i="40"/>
  <c r="Q29" i="40"/>
  <c r="T29" i="40"/>
  <c r="R29" i="40"/>
  <c r="W88" i="41"/>
  <c r="N89" i="24"/>
  <c r="R89" i="24"/>
  <c r="Q89" i="24"/>
  <c r="M89" i="24"/>
  <c r="S89" i="24"/>
  <c r="T89" i="24"/>
  <c r="V88" i="41"/>
  <c r="B90" i="10"/>
  <c r="C78" i="9"/>
  <c r="B90" i="24"/>
  <c r="B90" i="20"/>
  <c r="B90" i="41"/>
  <c r="B90" i="40"/>
  <c r="D77" i="9"/>
  <c r="V88" i="24"/>
  <c r="V88" i="40"/>
  <c r="W88" i="40"/>
  <c r="W88" i="24"/>
  <c r="R89" i="41"/>
  <c r="T89" i="41"/>
  <c r="S89" i="41"/>
  <c r="N89" i="41"/>
  <c r="Q89" i="41"/>
  <c r="M89" i="41"/>
  <c r="S89" i="40"/>
  <c r="T89" i="40"/>
  <c r="Q89" i="40"/>
  <c r="R89" i="40"/>
  <c r="M89" i="40"/>
  <c r="N89" i="40"/>
  <c r="Q89" i="20"/>
  <c r="T89" i="20"/>
  <c r="S89" i="20"/>
  <c r="R89" i="20"/>
  <c r="AG89" i="20"/>
  <c r="AF89" i="20"/>
  <c r="AG89" i="10"/>
  <c r="AT89" i="10" s="1"/>
  <c r="N89" i="10"/>
  <c r="W89" i="10" s="1"/>
  <c r="AN89" i="10" s="1"/>
  <c r="R89" i="10"/>
  <c r="T89" i="10"/>
  <c r="M89" i="10"/>
  <c r="V89" i="10" s="1"/>
  <c r="AM89" i="10" s="1"/>
  <c r="AF89" i="10"/>
  <c r="AS89" i="10" s="1"/>
  <c r="Q89" i="10"/>
  <c r="S89" i="10"/>
  <c r="S28" i="41" l="1"/>
  <c r="Q28" i="41"/>
  <c r="T28" i="41"/>
  <c r="R28" i="41"/>
  <c r="T28" i="40"/>
  <c r="R28" i="40"/>
  <c r="S28" i="40"/>
  <c r="Q28" i="40"/>
  <c r="Q28" i="24"/>
  <c r="T28" i="24"/>
  <c r="R28" i="24"/>
  <c r="S28" i="24"/>
  <c r="Q28" i="20"/>
  <c r="R28" i="20"/>
  <c r="S28" i="20"/>
  <c r="T28" i="20"/>
  <c r="B27" i="24"/>
  <c r="D14" i="9"/>
  <c r="B27" i="20"/>
  <c r="B27" i="40"/>
  <c r="B27" i="41"/>
  <c r="B27" i="10"/>
  <c r="C13" i="9"/>
  <c r="S28" i="10"/>
  <c r="Q28" i="10"/>
  <c r="T28" i="10"/>
  <c r="R28" i="10"/>
  <c r="N90" i="41"/>
  <c r="T90" i="41"/>
  <c r="R90" i="41"/>
  <c r="M90" i="41"/>
  <c r="S90" i="41"/>
  <c r="Q90" i="41"/>
  <c r="R90" i="20"/>
  <c r="T90" i="20"/>
  <c r="S90" i="20"/>
  <c r="Q90" i="20"/>
  <c r="AG90" i="20"/>
  <c r="AF90" i="20"/>
  <c r="M90" i="24"/>
  <c r="R90" i="24"/>
  <c r="N90" i="24"/>
  <c r="Q90" i="24"/>
  <c r="S90" i="24"/>
  <c r="T90" i="24"/>
  <c r="D78" i="9"/>
  <c r="B91" i="20"/>
  <c r="B91" i="10"/>
  <c r="B91" i="41"/>
  <c r="B91" i="40"/>
  <c r="B91" i="24"/>
  <c r="C79" i="9"/>
  <c r="W89" i="40"/>
  <c r="AG90" i="10"/>
  <c r="AT90" i="10" s="1"/>
  <c r="AF90" i="10"/>
  <c r="AS90" i="10" s="1"/>
  <c r="M90" i="10"/>
  <c r="V90" i="10" s="1"/>
  <c r="AM90" i="10" s="1"/>
  <c r="R90" i="10"/>
  <c r="Q90" i="10"/>
  <c r="N90" i="10"/>
  <c r="W90" i="10" s="1"/>
  <c r="AN90" i="10" s="1"/>
  <c r="T90" i="10"/>
  <c r="S90" i="10"/>
  <c r="V89" i="40"/>
  <c r="V89" i="24"/>
  <c r="V89" i="41"/>
  <c r="W89" i="24"/>
  <c r="W89" i="41"/>
  <c r="T90" i="40"/>
  <c r="S90" i="40"/>
  <c r="R90" i="40"/>
  <c r="M90" i="40"/>
  <c r="N90" i="40"/>
  <c r="Q90" i="40"/>
  <c r="R27" i="24" l="1"/>
  <c r="T27" i="24"/>
  <c r="S27" i="24"/>
  <c r="Q27" i="24"/>
  <c r="B26" i="41"/>
  <c r="B26" i="10"/>
  <c r="D13" i="9"/>
  <c r="B26" i="20"/>
  <c r="B26" i="24"/>
  <c r="B26" i="40"/>
  <c r="C12" i="9"/>
  <c r="T27" i="10"/>
  <c r="S27" i="10"/>
  <c r="Q27" i="10"/>
  <c r="R27" i="10"/>
  <c r="S27" i="41"/>
  <c r="Q27" i="41"/>
  <c r="R27" i="41"/>
  <c r="T27" i="41"/>
  <c r="T27" i="40"/>
  <c r="S27" i="40"/>
  <c r="Q27" i="40"/>
  <c r="R27" i="40"/>
  <c r="T27" i="20"/>
  <c r="R27" i="20"/>
  <c r="Q27" i="20"/>
  <c r="S27" i="20"/>
  <c r="V90" i="24"/>
  <c r="C80" i="9"/>
  <c r="B92" i="40"/>
  <c r="D79" i="9"/>
  <c r="B92" i="41"/>
  <c r="B92" i="10"/>
  <c r="B92" i="24"/>
  <c r="B92" i="20"/>
  <c r="M91" i="24"/>
  <c r="S91" i="24"/>
  <c r="Q91" i="24"/>
  <c r="N91" i="24"/>
  <c r="R91" i="24"/>
  <c r="T91" i="24"/>
  <c r="N91" i="41"/>
  <c r="T91" i="41"/>
  <c r="R91" i="41"/>
  <c r="S91" i="41"/>
  <c r="Q91" i="41"/>
  <c r="M91" i="41"/>
  <c r="W90" i="40"/>
  <c r="AG91" i="10"/>
  <c r="AT91" i="10" s="1"/>
  <c r="S91" i="10"/>
  <c r="T91" i="10"/>
  <c r="M91" i="10"/>
  <c r="V91" i="10" s="1"/>
  <c r="AM91" i="10" s="1"/>
  <c r="R91" i="10"/>
  <c r="N91" i="10"/>
  <c r="W91" i="10" s="1"/>
  <c r="AN91" i="10" s="1"/>
  <c r="AF91" i="10"/>
  <c r="AS91" i="10" s="1"/>
  <c r="Q91" i="10"/>
  <c r="S91" i="40"/>
  <c r="N91" i="40"/>
  <c r="T91" i="40"/>
  <c r="R91" i="40"/>
  <c r="Q91" i="40"/>
  <c r="M91" i="40"/>
  <c r="V90" i="40"/>
  <c r="T91" i="20"/>
  <c r="R91" i="20"/>
  <c r="S91" i="20"/>
  <c r="Q91" i="20"/>
  <c r="AG91" i="20"/>
  <c r="AF91" i="20"/>
  <c r="V90" i="41"/>
  <c r="W90" i="24"/>
  <c r="W90" i="41"/>
  <c r="B25" i="41" l="1"/>
  <c r="C11" i="9"/>
  <c r="B25" i="10"/>
  <c r="D12" i="9"/>
  <c r="B25" i="20"/>
  <c r="B25" i="24"/>
  <c r="B25" i="40"/>
  <c r="S26" i="40"/>
  <c r="Q26" i="40"/>
  <c r="R26" i="40"/>
  <c r="T26" i="40"/>
  <c r="T26" i="24"/>
  <c r="Q26" i="24"/>
  <c r="R26" i="24"/>
  <c r="S26" i="24"/>
  <c r="T26" i="20"/>
  <c r="R26" i="20"/>
  <c r="Q26" i="20"/>
  <c r="S26" i="20"/>
  <c r="Q26" i="10"/>
  <c r="T26" i="10"/>
  <c r="R26" i="10"/>
  <c r="S26" i="10"/>
  <c r="R26" i="41"/>
  <c r="S26" i="41"/>
  <c r="T26" i="41"/>
  <c r="Q26" i="41"/>
  <c r="V91" i="24"/>
  <c r="Q92" i="20"/>
  <c r="R92" i="20"/>
  <c r="S92" i="20"/>
  <c r="T92" i="20"/>
  <c r="AG92" i="20"/>
  <c r="AF92" i="20"/>
  <c r="N92" i="24"/>
  <c r="R92" i="24"/>
  <c r="Q92" i="24"/>
  <c r="M92" i="24"/>
  <c r="S92" i="24"/>
  <c r="T92" i="24"/>
  <c r="AG92" i="10"/>
  <c r="AT92" i="10" s="1"/>
  <c r="M92" i="10"/>
  <c r="V92" i="10" s="1"/>
  <c r="AM92" i="10" s="1"/>
  <c r="Q92" i="10"/>
  <c r="S92" i="10"/>
  <c r="T92" i="10"/>
  <c r="R92" i="10"/>
  <c r="AF92" i="10"/>
  <c r="AS92" i="10" s="1"/>
  <c r="N92" i="10"/>
  <c r="W92" i="10" s="1"/>
  <c r="AN92" i="10" s="1"/>
  <c r="V91" i="40"/>
  <c r="V91" i="41"/>
  <c r="N92" i="41"/>
  <c r="T92" i="41"/>
  <c r="S92" i="41"/>
  <c r="R92" i="41"/>
  <c r="M92" i="41"/>
  <c r="Q92" i="41"/>
  <c r="R92" i="40"/>
  <c r="S92" i="40"/>
  <c r="Q92" i="40"/>
  <c r="M92" i="40"/>
  <c r="N92" i="40"/>
  <c r="T92" i="40"/>
  <c r="B93" i="10"/>
  <c r="B93" i="20"/>
  <c r="B93" i="41"/>
  <c r="C81" i="9"/>
  <c r="B93" i="40"/>
  <c r="B93" i="24"/>
  <c r="D80" i="9"/>
  <c r="W91" i="40"/>
  <c r="W91" i="41"/>
  <c r="W91" i="24"/>
  <c r="R25" i="40" l="1"/>
  <c r="T25" i="40"/>
  <c r="Q25" i="40"/>
  <c r="S25" i="40"/>
  <c r="T25" i="24"/>
  <c r="S25" i="24"/>
  <c r="R25" i="24"/>
  <c r="Q25" i="24"/>
  <c r="T25" i="20"/>
  <c r="R25" i="20"/>
  <c r="Q25" i="20"/>
  <c r="S25" i="20"/>
  <c r="S25" i="10"/>
  <c r="T25" i="10"/>
  <c r="R25" i="10"/>
  <c r="Q25" i="10"/>
  <c r="B24" i="10"/>
  <c r="B24" i="24"/>
  <c r="B24" i="20"/>
  <c r="B24" i="41"/>
  <c r="B24" i="40"/>
  <c r="D11" i="9"/>
  <c r="C10" i="9"/>
  <c r="R25" i="41"/>
  <c r="T25" i="41"/>
  <c r="S25" i="41"/>
  <c r="Q25" i="41"/>
  <c r="V92" i="41"/>
  <c r="N93" i="24"/>
  <c r="R93" i="24"/>
  <c r="Q93" i="24"/>
  <c r="M93" i="24"/>
  <c r="S93" i="24"/>
  <c r="T93" i="24"/>
  <c r="R93" i="40"/>
  <c r="S93" i="40"/>
  <c r="T93" i="40"/>
  <c r="N93" i="40"/>
  <c r="M93" i="40"/>
  <c r="Q93" i="40"/>
  <c r="V92" i="24"/>
  <c r="W92" i="41"/>
  <c r="B94" i="41"/>
  <c r="B94" i="40"/>
  <c r="C82" i="9"/>
  <c r="D81" i="9"/>
  <c r="B94" i="10"/>
  <c r="B94" i="24"/>
  <c r="B94" i="20"/>
  <c r="M93" i="41"/>
  <c r="Q93" i="41"/>
  <c r="R93" i="41"/>
  <c r="S93" i="41"/>
  <c r="T93" i="41"/>
  <c r="N93" i="41"/>
  <c r="T93" i="20"/>
  <c r="R93" i="20"/>
  <c r="S93" i="20"/>
  <c r="Q93" i="20"/>
  <c r="AG93" i="20"/>
  <c r="AF93" i="20"/>
  <c r="W92" i="24"/>
  <c r="AG93" i="10"/>
  <c r="AT93" i="10" s="1"/>
  <c r="Q93" i="10"/>
  <c r="R93" i="10"/>
  <c r="T93" i="10"/>
  <c r="N93" i="10"/>
  <c r="W93" i="10" s="1"/>
  <c r="AN93" i="10" s="1"/>
  <c r="S93" i="10"/>
  <c r="M93" i="10"/>
  <c r="V93" i="10" s="1"/>
  <c r="AM93" i="10" s="1"/>
  <c r="AF93" i="10"/>
  <c r="AS93" i="10" s="1"/>
  <c r="W92" i="40"/>
  <c r="V92" i="40"/>
  <c r="T24" i="41" l="1"/>
  <c r="Q24" i="41"/>
  <c r="R24" i="41"/>
  <c r="S24" i="41"/>
  <c r="S24" i="40"/>
  <c r="Q24" i="40"/>
  <c r="R24" i="40"/>
  <c r="T24" i="40"/>
  <c r="T24" i="20"/>
  <c r="R24" i="20"/>
  <c r="Q24" i="20"/>
  <c r="S24" i="20"/>
  <c r="R24" i="24"/>
  <c r="S24" i="24"/>
  <c r="Q24" i="24"/>
  <c r="T24" i="24"/>
  <c r="S24" i="10"/>
  <c r="R24" i="10"/>
  <c r="T24" i="10"/>
  <c r="Q24" i="10"/>
  <c r="B23" i="40"/>
  <c r="B23" i="10"/>
  <c r="B23" i="20"/>
  <c r="D10" i="9"/>
  <c r="B23" i="24"/>
  <c r="C9" i="9"/>
  <c r="B23" i="41"/>
  <c r="W93" i="41"/>
  <c r="V93" i="40"/>
  <c r="W93" i="40"/>
  <c r="V93" i="41"/>
  <c r="R94" i="20"/>
  <c r="Q94" i="20"/>
  <c r="S94" i="20"/>
  <c r="T94" i="20"/>
  <c r="AG94" i="20"/>
  <c r="AF94" i="20"/>
  <c r="M94" i="24"/>
  <c r="Q94" i="24"/>
  <c r="N94" i="24"/>
  <c r="T94" i="24"/>
  <c r="S94" i="24"/>
  <c r="R94" i="24"/>
  <c r="AG94" i="10"/>
  <c r="AT94" i="10" s="1"/>
  <c r="R94" i="10"/>
  <c r="N94" i="10"/>
  <c r="W94" i="10" s="1"/>
  <c r="AN94" i="10" s="1"/>
  <c r="T94" i="10"/>
  <c r="S94" i="10"/>
  <c r="Q94" i="10"/>
  <c r="AF94" i="10"/>
  <c r="AS94" i="10" s="1"/>
  <c r="M94" i="10"/>
  <c r="V94" i="10" s="1"/>
  <c r="AM94" i="10" s="1"/>
  <c r="V93" i="24"/>
  <c r="B95" i="24"/>
  <c r="B95" i="20"/>
  <c r="D82" i="9"/>
  <c r="B95" i="40"/>
  <c r="B95" i="41"/>
  <c r="B95" i="10"/>
  <c r="C83" i="9"/>
  <c r="S94" i="40"/>
  <c r="R94" i="40"/>
  <c r="Q94" i="40"/>
  <c r="M94" i="40"/>
  <c r="T94" i="40"/>
  <c r="N94" i="40"/>
  <c r="S94" i="41"/>
  <c r="Q94" i="41"/>
  <c r="T94" i="41"/>
  <c r="M94" i="41"/>
  <c r="R94" i="41"/>
  <c r="N94" i="41"/>
  <c r="W93" i="24"/>
  <c r="Q23" i="41" l="1"/>
  <c r="S23" i="41"/>
  <c r="R23" i="41"/>
  <c r="T23" i="41"/>
  <c r="B22" i="24"/>
  <c r="B22" i="10"/>
  <c r="D9" i="9"/>
  <c r="B22" i="41"/>
  <c r="B22" i="40"/>
  <c r="B22" i="20"/>
  <c r="C8" i="9"/>
  <c r="S23" i="24"/>
  <c r="Q23" i="24"/>
  <c r="R23" i="24"/>
  <c r="T23" i="24"/>
  <c r="R23" i="20"/>
  <c r="T23" i="20"/>
  <c r="S23" i="20"/>
  <c r="Q23" i="20"/>
  <c r="R23" i="10"/>
  <c r="S23" i="10"/>
  <c r="Q23" i="10"/>
  <c r="T23" i="10"/>
  <c r="S23" i="40"/>
  <c r="R23" i="40"/>
  <c r="Q23" i="40"/>
  <c r="T23" i="40"/>
  <c r="W94" i="40"/>
  <c r="V94" i="40"/>
  <c r="B96" i="41"/>
  <c r="B96" i="40"/>
  <c r="D83" i="9"/>
  <c r="B96" i="10"/>
  <c r="C84" i="9"/>
  <c r="B96" i="20"/>
  <c r="B96" i="24"/>
  <c r="AG95" i="10"/>
  <c r="AT95" i="10" s="1"/>
  <c r="N95" i="10"/>
  <c r="W95" i="10" s="1"/>
  <c r="AN95" i="10" s="1"/>
  <c r="Q95" i="10"/>
  <c r="R95" i="10"/>
  <c r="S95" i="10"/>
  <c r="T95" i="10"/>
  <c r="AF95" i="10"/>
  <c r="AS95" i="10" s="1"/>
  <c r="M95" i="10"/>
  <c r="V95" i="10" s="1"/>
  <c r="AM95" i="10" s="1"/>
  <c r="W94" i="41"/>
  <c r="N95" i="41"/>
  <c r="R95" i="41"/>
  <c r="T95" i="41"/>
  <c r="M95" i="41"/>
  <c r="Q95" i="41"/>
  <c r="S95" i="41"/>
  <c r="T95" i="40"/>
  <c r="S95" i="40"/>
  <c r="R95" i="40"/>
  <c r="N95" i="40"/>
  <c r="Q95" i="40"/>
  <c r="M95" i="40"/>
  <c r="V94" i="41"/>
  <c r="Q95" i="20"/>
  <c r="S95" i="20"/>
  <c r="T95" i="20"/>
  <c r="R95" i="20"/>
  <c r="AG95" i="20"/>
  <c r="AF95" i="20"/>
  <c r="W94" i="24"/>
  <c r="R95" i="24"/>
  <c r="N95" i="24"/>
  <c r="M95" i="24"/>
  <c r="S95" i="24"/>
  <c r="T95" i="24"/>
  <c r="Q95" i="24"/>
  <c r="V94" i="24"/>
  <c r="R22" i="20" l="1"/>
  <c r="Q22" i="20"/>
  <c r="S22" i="20"/>
  <c r="T22" i="20"/>
  <c r="S22" i="40"/>
  <c r="T22" i="40"/>
  <c r="R22" i="40"/>
  <c r="Q22" i="40"/>
  <c r="R22" i="41"/>
  <c r="Q22" i="41"/>
  <c r="S22" i="41"/>
  <c r="T22" i="41"/>
  <c r="Q22" i="10"/>
  <c r="T22" i="10"/>
  <c r="R22" i="10"/>
  <c r="S22" i="10"/>
  <c r="S22" i="24"/>
  <c r="Q22" i="24"/>
  <c r="T22" i="24"/>
  <c r="R22" i="24"/>
  <c r="D8" i="9"/>
  <c r="C7" i="9"/>
  <c r="B21" i="41"/>
  <c r="B21" i="40"/>
  <c r="B21" i="20"/>
  <c r="B21" i="24"/>
  <c r="B21" i="10"/>
  <c r="M96" i="24"/>
  <c r="N96" i="24"/>
  <c r="Q96" i="24"/>
  <c r="R96" i="24"/>
  <c r="T96" i="24"/>
  <c r="S96" i="24"/>
  <c r="V95" i="41"/>
  <c r="Q96" i="20"/>
  <c r="T96" i="20"/>
  <c r="R96" i="20"/>
  <c r="S96" i="20"/>
  <c r="AG96" i="20"/>
  <c r="AF96" i="20"/>
  <c r="B97" i="20"/>
  <c r="D84" i="9"/>
  <c r="B97" i="40"/>
  <c r="B97" i="10"/>
  <c r="B97" i="41"/>
  <c r="C85" i="9"/>
  <c r="B97" i="24"/>
  <c r="AG96" i="10"/>
  <c r="AT96" i="10" s="1"/>
  <c r="AF96" i="10"/>
  <c r="AS96" i="10" s="1"/>
  <c r="S96" i="10"/>
  <c r="Q96" i="10"/>
  <c r="R96" i="10"/>
  <c r="M96" i="10"/>
  <c r="V96" i="10" s="1"/>
  <c r="AM96" i="10" s="1"/>
  <c r="T96" i="10"/>
  <c r="N96" i="10"/>
  <c r="W96" i="10" s="1"/>
  <c r="AN96" i="10" s="1"/>
  <c r="W95" i="41"/>
  <c r="S96" i="40"/>
  <c r="R96" i="40"/>
  <c r="Q96" i="40"/>
  <c r="M96" i="40"/>
  <c r="N96" i="40"/>
  <c r="T96" i="40"/>
  <c r="S96" i="41"/>
  <c r="M96" i="41"/>
  <c r="N96" i="41"/>
  <c r="Q96" i="41"/>
  <c r="T96" i="41"/>
  <c r="R96" i="41"/>
  <c r="V95" i="40"/>
  <c r="W95" i="40"/>
  <c r="V95" i="24"/>
  <c r="W95" i="24"/>
  <c r="Q21" i="10" l="1"/>
  <c r="S21" i="10"/>
  <c r="T21" i="10"/>
  <c r="R21" i="10"/>
  <c r="Q21" i="24"/>
  <c r="S21" i="24"/>
  <c r="R21" i="24"/>
  <c r="T21" i="24"/>
  <c r="T21" i="20"/>
  <c r="Q21" i="20"/>
  <c r="R21" i="20"/>
  <c r="S21" i="20"/>
  <c r="S21" i="40"/>
  <c r="Q21" i="40"/>
  <c r="R21" i="40"/>
  <c r="T21" i="40"/>
  <c r="T21" i="41"/>
  <c r="R21" i="41"/>
  <c r="S21" i="41"/>
  <c r="Q21" i="41"/>
  <c r="B20" i="20"/>
  <c r="B20" i="10"/>
  <c r="B20" i="40"/>
  <c r="B20" i="41"/>
  <c r="C6" i="9"/>
  <c r="D7" i="9"/>
  <c r="B20" i="24"/>
  <c r="Q97" i="20"/>
  <c r="S97" i="20"/>
  <c r="T97" i="20"/>
  <c r="R97" i="20"/>
  <c r="AG97" i="20"/>
  <c r="AF97" i="20"/>
  <c r="W96" i="41"/>
  <c r="V96" i="41"/>
  <c r="W96" i="40"/>
  <c r="V96" i="40"/>
  <c r="R97" i="24"/>
  <c r="N97" i="24"/>
  <c r="M97" i="24"/>
  <c r="Q97" i="24"/>
  <c r="S97" i="24"/>
  <c r="T97" i="24"/>
  <c r="B98" i="10"/>
  <c r="B98" i="24"/>
  <c r="D85" i="9"/>
  <c r="C86" i="9"/>
  <c r="B98" i="41"/>
  <c r="B98" i="40"/>
  <c r="B98" i="20"/>
  <c r="R97" i="41"/>
  <c r="M97" i="41"/>
  <c r="T97" i="41"/>
  <c r="N97" i="41"/>
  <c r="Q97" i="41"/>
  <c r="S97" i="41"/>
  <c r="AG97" i="10"/>
  <c r="AT97" i="10" s="1"/>
  <c r="N97" i="10"/>
  <c r="W97" i="10" s="1"/>
  <c r="AN97" i="10" s="1"/>
  <c r="R97" i="10"/>
  <c r="M97" i="10"/>
  <c r="V97" i="10" s="1"/>
  <c r="AM97" i="10" s="1"/>
  <c r="T97" i="10"/>
  <c r="Q97" i="10"/>
  <c r="S97" i="10"/>
  <c r="AF97" i="10"/>
  <c r="AS97" i="10" s="1"/>
  <c r="W96" i="24"/>
  <c r="T97" i="40"/>
  <c r="R97" i="40"/>
  <c r="Q97" i="40"/>
  <c r="M97" i="40"/>
  <c r="N97" i="40"/>
  <c r="S97" i="40"/>
  <c r="V96" i="24"/>
  <c r="R20" i="20" l="1"/>
  <c r="T20" i="20"/>
  <c r="Q20" i="20"/>
  <c r="S20" i="20"/>
  <c r="T20" i="10"/>
  <c r="R20" i="10"/>
  <c r="Q20" i="10"/>
  <c r="S20" i="10"/>
  <c r="Q20" i="24"/>
  <c r="T20" i="24"/>
  <c r="S20" i="24"/>
  <c r="R20" i="24"/>
  <c r="B19" i="40"/>
  <c r="B19" i="41"/>
  <c r="B19" i="10"/>
  <c r="B19" i="20"/>
  <c r="D6" i="9"/>
  <c r="B19" i="24"/>
  <c r="T20" i="41"/>
  <c r="R20" i="41"/>
  <c r="S20" i="41"/>
  <c r="Q20" i="41"/>
  <c r="R20" i="40"/>
  <c r="T20" i="40"/>
  <c r="S20" i="40"/>
  <c r="Q20" i="40"/>
  <c r="N98" i="40"/>
  <c r="R98" i="40"/>
  <c r="T98" i="40"/>
  <c r="Q98" i="40"/>
  <c r="M98" i="40"/>
  <c r="S98" i="40"/>
  <c r="Q98" i="41"/>
  <c r="S98" i="41"/>
  <c r="T98" i="41"/>
  <c r="M98" i="41"/>
  <c r="R98" i="41"/>
  <c r="N98" i="41"/>
  <c r="B99" i="41"/>
  <c r="B99" i="40"/>
  <c r="D86" i="9"/>
  <c r="B99" i="10"/>
  <c r="C87" i="9"/>
  <c r="B99" i="24"/>
  <c r="B99" i="20"/>
  <c r="Q98" i="24"/>
  <c r="R98" i="24"/>
  <c r="S98" i="24"/>
  <c r="T98" i="24"/>
  <c r="M98" i="24"/>
  <c r="N98" i="24"/>
  <c r="R98" i="10"/>
  <c r="M98" i="10"/>
  <c r="V98" i="10" s="1"/>
  <c r="AM98" i="10" s="1"/>
  <c r="AF98" i="10"/>
  <c r="AS98" i="10" s="1"/>
  <c r="N98" i="10"/>
  <c r="W98" i="10" s="1"/>
  <c r="AN98" i="10" s="1"/>
  <c r="Q98" i="10"/>
  <c r="T98" i="10"/>
  <c r="S98" i="10"/>
  <c r="AG98" i="10"/>
  <c r="AT98" i="10" s="1"/>
  <c r="W97" i="40"/>
  <c r="V97" i="40"/>
  <c r="V97" i="24"/>
  <c r="W97" i="41"/>
  <c r="W97" i="24"/>
  <c r="V97" i="41"/>
  <c r="Q98" i="20"/>
  <c r="T98" i="20"/>
  <c r="S98" i="20"/>
  <c r="R98" i="20"/>
  <c r="AG98" i="20"/>
  <c r="AF98" i="20"/>
  <c r="Q19" i="24" l="1"/>
  <c r="R19" i="24"/>
  <c r="S19" i="24"/>
  <c r="T19" i="24"/>
  <c r="Q19" i="20"/>
  <c r="R19" i="20"/>
  <c r="S19" i="20"/>
  <c r="T19" i="20"/>
  <c r="T19" i="10"/>
  <c r="R19" i="10"/>
  <c r="Q19" i="10"/>
  <c r="S19" i="10"/>
  <c r="R19" i="41"/>
  <c r="T19" i="41"/>
  <c r="S19" i="41"/>
  <c r="Q19" i="41"/>
  <c r="T19" i="40"/>
  <c r="Q19" i="40"/>
  <c r="R19" i="40"/>
  <c r="S19" i="40"/>
  <c r="W98" i="41"/>
  <c r="W98" i="24"/>
  <c r="V98" i="41"/>
  <c r="V98" i="24"/>
  <c r="R99" i="20"/>
  <c r="Q99" i="20"/>
  <c r="S99" i="20"/>
  <c r="T99" i="20"/>
  <c r="AG99" i="20"/>
  <c r="AF99" i="20"/>
  <c r="V98" i="40"/>
  <c r="M99" i="24"/>
  <c r="Q99" i="24"/>
  <c r="R99" i="24"/>
  <c r="N99" i="24"/>
  <c r="S99" i="24"/>
  <c r="T99" i="24"/>
  <c r="C88" i="9"/>
  <c r="B100" i="41"/>
  <c r="B100" i="20"/>
  <c r="D87" i="9"/>
  <c r="B100" i="10"/>
  <c r="B100" i="24"/>
  <c r="B100" i="40"/>
  <c r="AG99" i="10"/>
  <c r="AT99" i="10" s="1"/>
  <c r="T99" i="10"/>
  <c r="S99" i="10"/>
  <c r="M99" i="10"/>
  <c r="V99" i="10" s="1"/>
  <c r="AM99" i="10" s="1"/>
  <c r="Q99" i="10"/>
  <c r="N99" i="10"/>
  <c r="W99" i="10" s="1"/>
  <c r="AN99" i="10" s="1"/>
  <c r="AF99" i="10"/>
  <c r="AS99" i="10" s="1"/>
  <c r="R99" i="10"/>
  <c r="W98" i="40"/>
  <c r="S99" i="40"/>
  <c r="T99" i="40"/>
  <c r="Q99" i="40"/>
  <c r="M99" i="40"/>
  <c r="N99" i="40"/>
  <c r="R99" i="40"/>
  <c r="S99" i="41"/>
  <c r="Q99" i="41"/>
  <c r="M99" i="41"/>
  <c r="T99" i="41"/>
  <c r="R99" i="41"/>
  <c r="N99" i="41"/>
  <c r="C89" i="9" l="1"/>
  <c r="B101" i="10"/>
  <c r="B101" i="24"/>
  <c r="D88" i="9"/>
  <c r="B101" i="20"/>
  <c r="B101" i="40"/>
  <c r="B101" i="41"/>
  <c r="W99" i="24"/>
  <c r="V99" i="24"/>
  <c r="V99" i="41"/>
  <c r="S100" i="40"/>
  <c r="T100" i="40"/>
  <c r="R100" i="40"/>
  <c r="N100" i="40"/>
  <c r="Q100" i="40"/>
  <c r="M100" i="40"/>
  <c r="W99" i="40"/>
  <c r="Q100" i="24"/>
  <c r="M100" i="24"/>
  <c r="N100" i="24"/>
  <c r="R100" i="24"/>
  <c r="S100" i="24"/>
  <c r="T100" i="24"/>
  <c r="V99" i="40"/>
  <c r="R100" i="10"/>
  <c r="S100" i="10"/>
  <c r="M100" i="10"/>
  <c r="V100" i="10" s="1"/>
  <c r="AM100" i="10" s="1"/>
  <c r="T100" i="10"/>
  <c r="AG100" i="10"/>
  <c r="AT100" i="10" s="1"/>
  <c r="N100" i="10"/>
  <c r="W100" i="10" s="1"/>
  <c r="AN100" i="10" s="1"/>
  <c r="Q100" i="10"/>
  <c r="AF100" i="10"/>
  <c r="AS100" i="10" s="1"/>
  <c r="T100" i="20"/>
  <c r="Q100" i="20"/>
  <c r="R100" i="20"/>
  <c r="S100" i="20"/>
  <c r="AG100" i="20"/>
  <c r="AF100" i="20"/>
  <c r="W99" i="41"/>
  <c r="R100" i="41"/>
  <c r="N100" i="41"/>
  <c r="T100" i="41"/>
  <c r="Q100" i="41"/>
  <c r="M100" i="41"/>
  <c r="S100" i="41"/>
  <c r="V100" i="24" l="1"/>
  <c r="V100" i="40"/>
  <c r="V100" i="41"/>
  <c r="W100" i="40"/>
  <c r="AU100" i="40" s="1"/>
  <c r="M101" i="41"/>
  <c r="T101" i="41"/>
  <c r="N101" i="41"/>
  <c r="R101" i="41"/>
  <c r="S101" i="41"/>
  <c r="Q101" i="41"/>
  <c r="R101" i="40"/>
  <c r="T101" i="40"/>
  <c r="Q101" i="40"/>
  <c r="S101" i="40"/>
  <c r="M101" i="40"/>
  <c r="N101" i="40"/>
  <c r="W100" i="41"/>
  <c r="AU100" i="41" s="1"/>
  <c r="T101" i="20"/>
  <c r="R101" i="20"/>
  <c r="Q101" i="20"/>
  <c r="S101" i="20"/>
  <c r="AG101" i="20"/>
  <c r="AF101" i="20"/>
  <c r="Q101" i="24"/>
  <c r="R101" i="24"/>
  <c r="N101" i="24"/>
  <c r="M101" i="24"/>
  <c r="S101" i="24"/>
  <c r="T101" i="24"/>
  <c r="N101" i="10"/>
  <c r="W101" i="10" s="1"/>
  <c r="AN101" i="10" s="1"/>
  <c r="R101" i="10"/>
  <c r="Q101" i="10"/>
  <c r="M101" i="10"/>
  <c r="V101" i="10" s="1"/>
  <c r="AM101" i="10" s="1"/>
  <c r="T101" i="10"/>
  <c r="AG101" i="10"/>
  <c r="AT101" i="10" s="1"/>
  <c r="S101" i="10"/>
  <c r="AF101" i="10"/>
  <c r="AS101" i="10" s="1"/>
  <c r="B102" i="10"/>
  <c r="B102" i="20"/>
  <c r="B102" i="24"/>
  <c r="C90" i="9"/>
  <c r="D89" i="9"/>
  <c r="B102" i="41"/>
  <c r="B102" i="40"/>
  <c r="W100" i="24"/>
  <c r="AU100" i="24" s="1"/>
  <c r="V101" i="41" l="1"/>
  <c r="W101" i="40"/>
  <c r="V101" i="40"/>
  <c r="T102" i="40"/>
  <c r="N102" i="40"/>
  <c r="R102" i="40"/>
  <c r="M102" i="40"/>
  <c r="S102" i="40"/>
  <c r="Q102" i="40"/>
  <c r="R102" i="41"/>
  <c r="N102" i="41"/>
  <c r="Q102" i="41"/>
  <c r="M102" i="41"/>
  <c r="S102" i="41"/>
  <c r="T102" i="41"/>
  <c r="V101" i="24"/>
  <c r="W101" i="24"/>
  <c r="B103" i="40"/>
  <c r="B103" i="10"/>
  <c r="C91" i="9"/>
  <c r="D90" i="9"/>
  <c r="B103" i="24"/>
  <c r="B103" i="20"/>
  <c r="B103" i="41"/>
  <c r="M102" i="24"/>
  <c r="S102" i="24"/>
  <c r="Q102" i="24"/>
  <c r="R102" i="24"/>
  <c r="N102" i="24"/>
  <c r="T102" i="24"/>
  <c r="AF102" i="10"/>
  <c r="AS102" i="10" s="1"/>
  <c r="M102" i="10"/>
  <c r="V102" i="10" s="1"/>
  <c r="AM102" i="10" s="1"/>
  <c r="AG102" i="10"/>
  <c r="AT102" i="10" s="1"/>
  <c r="Q102" i="10"/>
  <c r="R102" i="10"/>
  <c r="N102" i="10"/>
  <c r="W102" i="10" s="1"/>
  <c r="AN102" i="10" s="1"/>
  <c r="S102" i="10"/>
  <c r="T102" i="10"/>
  <c r="R102" i="20"/>
  <c r="T102" i="20"/>
  <c r="Q102" i="20"/>
  <c r="S102" i="20"/>
  <c r="AG102" i="20"/>
  <c r="AF102" i="20"/>
  <c r="W101" i="41"/>
  <c r="AF103" i="10" l="1"/>
  <c r="AS103" i="10" s="1"/>
  <c r="Q103" i="10"/>
  <c r="AG103" i="10"/>
  <c r="AT103" i="10" s="1"/>
  <c r="T103" i="10"/>
  <c r="S103" i="10"/>
  <c r="N103" i="10"/>
  <c r="W103" i="10" s="1"/>
  <c r="AN103" i="10" s="1"/>
  <c r="M103" i="10"/>
  <c r="V103" i="10" s="1"/>
  <c r="AM103" i="10" s="1"/>
  <c r="R103" i="10"/>
  <c r="M103" i="40"/>
  <c r="Q103" i="40"/>
  <c r="R103" i="40"/>
  <c r="N103" i="40"/>
  <c r="S103" i="40"/>
  <c r="T103" i="40"/>
  <c r="W102" i="40"/>
  <c r="W102" i="24"/>
  <c r="V102" i="41"/>
  <c r="V102" i="24"/>
  <c r="W102" i="41"/>
  <c r="R103" i="41"/>
  <c r="N103" i="41"/>
  <c r="T103" i="41"/>
  <c r="Q103" i="41"/>
  <c r="S103" i="41"/>
  <c r="M103" i="41"/>
  <c r="R103" i="20"/>
  <c r="S103" i="20"/>
  <c r="T103" i="20"/>
  <c r="Q103" i="20"/>
  <c r="AG103" i="20"/>
  <c r="AF103" i="20"/>
  <c r="S103" i="24"/>
  <c r="Q103" i="24"/>
  <c r="N103" i="24"/>
  <c r="R103" i="24"/>
  <c r="M103" i="24"/>
  <c r="T103" i="24"/>
  <c r="B104" i="24"/>
  <c r="B104" i="20"/>
  <c r="D91" i="9"/>
  <c r="B104" i="10"/>
  <c r="B104" i="40"/>
  <c r="B104" i="41"/>
  <c r="C92" i="9"/>
  <c r="V102" i="40"/>
  <c r="M104" i="24" l="1"/>
  <c r="R104" i="24"/>
  <c r="S104" i="24"/>
  <c r="T104" i="24"/>
  <c r="N104" i="24"/>
  <c r="Q104" i="24"/>
  <c r="S104" i="20"/>
  <c r="T104" i="20"/>
  <c r="Q104" i="20"/>
  <c r="R104" i="20"/>
  <c r="AG104" i="20"/>
  <c r="AF104" i="20"/>
  <c r="V103" i="41"/>
  <c r="W103" i="41"/>
  <c r="W103" i="24"/>
  <c r="W103" i="40"/>
  <c r="V103" i="24"/>
  <c r="V103" i="40"/>
  <c r="B105" i="41"/>
  <c r="C93" i="9"/>
  <c r="B105" i="20"/>
  <c r="B105" i="10"/>
  <c r="B105" i="24"/>
  <c r="D92" i="9"/>
  <c r="B105" i="40"/>
  <c r="M104" i="41"/>
  <c r="N104" i="41"/>
  <c r="Q104" i="41"/>
  <c r="S104" i="41"/>
  <c r="R104" i="41"/>
  <c r="T104" i="41"/>
  <c r="T104" i="40"/>
  <c r="S104" i="40"/>
  <c r="M104" i="40"/>
  <c r="R104" i="40"/>
  <c r="N104" i="40"/>
  <c r="Q104" i="40"/>
  <c r="AF104" i="10"/>
  <c r="AS104" i="10" s="1"/>
  <c r="N104" i="10"/>
  <c r="W104" i="10" s="1"/>
  <c r="AN104" i="10" s="1"/>
  <c r="AG104" i="10"/>
  <c r="AT104" i="10" s="1"/>
  <c r="R104" i="10"/>
  <c r="S104" i="10"/>
  <c r="T104" i="10"/>
  <c r="Q104" i="10"/>
  <c r="M104" i="10"/>
  <c r="V104" i="10" s="1"/>
  <c r="AM104" i="10" s="1"/>
  <c r="I2" i="25" l="1"/>
  <c r="I3" i="25"/>
  <c r="V104" i="24"/>
  <c r="R105" i="24"/>
  <c r="N105" i="24"/>
  <c r="Q105" i="24"/>
  <c r="M105" i="24"/>
  <c r="T105" i="24"/>
  <c r="S105" i="24"/>
  <c r="W104" i="40"/>
  <c r="AG105" i="10"/>
  <c r="AT105" i="10" s="1"/>
  <c r="M105" i="10"/>
  <c r="V105" i="10" s="1"/>
  <c r="AM105" i="10" s="1"/>
  <c r="Q105" i="10"/>
  <c r="R105" i="10"/>
  <c r="N105" i="10"/>
  <c r="W105" i="10" s="1"/>
  <c r="AN105" i="10" s="1"/>
  <c r="S105" i="10"/>
  <c r="T105" i="10"/>
  <c r="AF105" i="10"/>
  <c r="AS105" i="10" s="1"/>
  <c r="T105" i="20"/>
  <c r="Q105" i="20"/>
  <c r="S105" i="20"/>
  <c r="R105" i="20"/>
  <c r="AG105" i="20"/>
  <c r="AF105" i="20"/>
  <c r="V104" i="40"/>
  <c r="B106" i="24"/>
  <c r="B106" i="10"/>
  <c r="C94" i="9"/>
  <c r="B106" i="20"/>
  <c r="D93" i="9"/>
  <c r="B106" i="40"/>
  <c r="B106" i="41"/>
  <c r="N105" i="41"/>
  <c r="R105" i="41"/>
  <c r="T105" i="41"/>
  <c r="S105" i="41"/>
  <c r="M105" i="41"/>
  <c r="Q105" i="41"/>
  <c r="W104" i="41"/>
  <c r="W104" i="24"/>
  <c r="S105" i="40"/>
  <c r="N105" i="40"/>
  <c r="M105" i="40"/>
  <c r="Q105" i="40"/>
  <c r="T105" i="40"/>
  <c r="R105" i="40"/>
  <c r="V104" i="41"/>
  <c r="AM11" i="10" l="1"/>
  <c r="BB6" i="10" s="1"/>
  <c r="AN11" i="10"/>
  <c r="V105" i="41"/>
  <c r="AT105" i="41" s="1"/>
  <c r="V105" i="24"/>
  <c r="AT105" i="24" s="1"/>
  <c r="W105" i="24"/>
  <c r="AU105" i="24" s="1"/>
  <c r="V105" i="40"/>
  <c r="AT105" i="40" s="1"/>
  <c r="W105" i="41"/>
  <c r="AU105" i="41" s="1"/>
  <c r="W105" i="40"/>
  <c r="AU105" i="40" s="1"/>
  <c r="S106" i="41"/>
  <c r="R106" i="41"/>
  <c r="Q106" i="41"/>
  <c r="T106" i="41"/>
  <c r="N106" i="41"/>
  <c r="M106" i="41"/>
  <c r="T106" i="40"/>
  <c r="N106" i="40"/>
  <c r="S106" i="40"/>
  <c r="Q106" i="40"/>
  <c r="M106" i="40"/>
  <c r="R106" i="40"/>
  <c r="R106" i="20"/>
  <c r="Q106" i="20"/>
  <c r="T106" i="20"/>
  <c r="S106" i="20"/>
  <c r="AG106" i="20"/>
  <c r="AF106" i="20"/>
  <c r="D94" i="9"/>
  <c r="B107" i="40"/>
  <c r="B107" i="41"/>
  <c r="C95" i="9"/>
  <c r="B107" i="24"/>
  <c r="B107" i="10"/>
  <c r="B107" i="20"/>
  <c r="AF106" i="10"/>
  <c r="AS106" i="10" s="1"/>
  <c r="R106" i="10"/>
  <c r="M106" i="10"/>
  <c r="T106" i="10"/>
  <c r="Q106" i="10"/>
  <c r="S106" i="10"/>
  <c r="AG106" i="10"/>
  <c r="AT106" i="10" s="1"/>
  <c r="N106" i="10"/>
  <c r="N106" i="24"/>
  <c r="M106" i="24"/>
  <c r="Q106" i="24"/>
  <c r="S106" i="24"/>
  <c r="T106" i="24"/>
  <c r="R106" i="24"/>
  <c r="E10" i="7" a="1"/>
  <c r="E10" i="7" l="1"/>
  <c r="BC7" i="10"/>
  <c r="BC6" i="10"/>
  <c r="BB7" i="10"/>
  <c r="AT11" i="41"/>
  <c r="AU11" i="40"/>
  <c r="AU11" i="41"/>
  <c r="AT11" i="40"/>
  <c r="Q107" i="20"/>
  <c r="R107" i="20"/>
  <c r="T107" i="20"/>
  <c r="S107" i="20"/>
  <c r="AG107" i="20"/>
  <c r="AF107" i="20"/>
  <c r="AF107" i="10"/>
  <c r="AS107" i="10" s="1"/>
  <c r="N107" i="10"/>
  <c r="Q107" i="10"/>
  <c r="AG107" i="10"/>
  <c r="AT107" i="10" s="1"/>
  <c r="R107" i="10"/>
  <c r="M107" i="10"/>
  <c r="T107" i="10"/>
  <c r="S107" i="10"/>
  <c r="W106" i="40"/>
  <c r="N107" i="24"/>
  <c r="R107" i="24"/>
  <c r="M107" i="24"/>
  <c r="S107" i="24"/>
  <c r="T107" i="24"/>
  <c r="Q107" i="24"/>
  <c r="B108" i="20"/>
  <c r="C96" i="9"/>
  <c r="B108" i="24"/>
  <c r="B108" i="10"/>
  <c r="D95" i="9"/>
  <c r="B108" i="41"/>
  <c r="B108" i="40"/>
  <c r="V106" i="41"/>
  <c r="V106" i="24"/>
  <c r="Q107" i="41"/>
  <c r="M107" i="41"/>
  <c r="S107" i="41"/>
  <c r="T107" i="41"/>
  <c r="R107" i="41"/>
  <c r="N107" i="41"/>
  <c r="W106" i="41"/>
  <c r="V106" i="40"/>
  <c r="W106" i="24"/>
  <c r="Q107" i="40"/>
  <c r="M107" i="40"/>
  <c r="S107" i="40"/>
  <c r="T107" i="40"/>
  <c r="R107" i="40"/>
  <c r="N107" i="40"/>
  <c r="E11" i="7" a="1"/>
  <c r="F11" i="7" a="1"/>
  <c r="F10" i="7" a="1"/>
  <c r="F10" i="7" l="1"/>
  <c r="F11" i="7"/>
  <c r="E11" i="7"/>
  <c r="BB12" i="10"/>
  <c r="BC12" i="10"/>
  <c r="S108" i="24"/>
  <c r="R108" i="24"/>
  <c r="N108" i="24"/>
  <c r="Q108" i="24"/>
  <c r="M108" i="24"/>
  <c r="T108" i="24"/>
  <c r="W107" i="41"/>
  <c r="B109" i="10"/>
  <c r="B109" i="40"/>
  <c r="B109" i="41"/>
  <c r="C97" i="9"/>
  <c r="B109" i="24"/>
  <c r="D96" i="9"/>
  <c r="B109" i="20"/>
  <c r="Q108" i="20"/>
  <c r="S108" i="20"/>
  <c r="T108" i="20"/>
  <c r="R108" i="20"/>
  <c r="AG108" i="20"/>
  <c r="AF108" i="20"/>
  <c r="V107" i="41"/>
  <c r="V107" i="24"/>
  <c r="AF108" i="10"/>
  <c r="AS108" i="10" s="1"/>
  <c r="N108" i="10"/>
  <c r="AG108" i="10"/>
  <c r="AT108" i="10" s="1"/>
  <c r="R108" i="10"/>
  <c r="M108" i="10"/>
  <c r="S108" i="10"/>
  <c r="Q108" i="10"/>
  <c r="T108" i="10"/>
  <c r="W107" i="24"/>
  <c r="V107" i="40"/>
  <c r="W107" i="40"/>
  <c r="N108" i="40"/>
  <c r="Q108" i="40"/>
  <c r="M108" i="40"/>
  <c r="R108" i="40"/>
  <c r="T108" i="40"/>
  <c r="S108" i="40"/>
  <c r="S108" i="41"/>
  <c r="Q108" i="41"/>
  <c r="T108" i="41"/>
  <c r="R108" i="41"/>
  <c r="M108" i="41"/>
  <c r="N108" i="41"/>
  <c r="AF109" i="10" l="1"/>
  <c r="AS109" i="10" s="1"/>
  <c r="R109" i="10"/>
  <c r="AG109" i="10"/>
  <c r="AT109" i="10" s="1"/>
  <c r="N109" i="10"/>
  <c r="M109" i="10"/>
  <c r="S109" i="10"/>
  <c r="Q109" i="10"/>
  <c r="T109" i="10"/>
  <c r="W108" i="41"/>
  <c r="V108" i="41"/>
  <c r="V108" i="24"/>
  <c r="Q109" i="40"/>
  <c r="R109" i="40"/>
  <c r="T109" i="40"/>
  <c r="S109" i="40"/>
  <c r="M109" i="40"/>
  <c r="N109" i="40"/>
  <c r="W108" i="24"/>
  <c r="V108" i="40"/>
  <c r="T109" i="20"/>
  <c r="R109" i="20"/>
  <c r="S109" i="20"/>
  <c r="Q109" i="20"/>
  <c r="AG109" i="20"/>
  <c r="AF109" i="20"/>
  <c r="W108" i="40"/>
  <c r="S109" i="24"/>
  <c r="T109" i="24"/>
  <c r="Q109" i="24"/>
  <c r="M109" i="24"/>
  <c r="R109" i="24"/>
  <c r="N109" i="24"/>
  <c r="B110" i="40"/>
  <c r="C98" i="9"/>
  <c r="B110" i="41"/>
  <c r="B110" i="10"/>
  <c r="B110" i="20"/>
  <c r="B110" i="24"/>
  <c r="D97" i="9"/>
  <c r="S109" i="41"/>
  <c r="Q109" i="41"/>
  <c r="M109" i="41"/>
  <c r="T109" i="41"/>
  <c r="N109" i="41"/>
  <c r="R109" i="41"/>
  <c r="V109" i="24" l="1"/>
  <c r="W109" i="24"/>
  <c r="W109" i="40"/>
  <c r="V109" i="40"/>
  <c r="W109" i="41"/>
  <c r="V109" i="41"/>
  <c r="Q110" i="20"/>
  <c r="T110" i="20"/>
  <c r="R110" i="20"/>
  <c r="S110" i="20"/>
  <c r="AG110" i="20"/>
  <c r="AF110" i="20"/>
  <c r="AF110" i="10"/>
  <c r="AS110" i="10" s="1"/>
  <c r="AG110" i="10"/>
  <c r="AT110" i="10" s="1"/>
  <c r="S110" i="10"/>
  <c r="T110" i="10"/>
  <c r="M110" i="10"/>
  <c r="N110" i="10"/>
  <c r="R110" i="10"/>
  <c r="Q110" i="10"/>
  <c r="Q110" i="41"/>
  <c r="R110" i="41"/>
  <c r="T110" i="41"/>
  <c r="N110" i="41"/>
  <c r="S110" i="41"/>
  <c r="M110" i="41"/>
  <c r="N110" i="24"/>
  <c r="R110" i="24"/>
  <c r="M110" i="24"/>
  <c r="S110" i="24"/>
  <c r="Q110" i="24"/>
  <c r="T110" i="24"/>
  <c r="C99" i="9"/>
  <c r="B111" i="10"/>
  <c r="B111" i="20"/>
  <c r="B111" i="41"/>
  <c r="B111" i="24"/>
  <c r="B111" i="40"/>
  <c r="D98" i="9"/>
  <c r="T110" i="40"/>
  <c r="N110" i="40"/>
  <c r="R110" i="40"/>
  <c r="M110" i="40"/>
  <c r="S110" i="40"/>
  <c r="Q110" i="40"/>
  <c r="V110" i="24" l="1"/>
  <c r="V110" i="40"/>
  <c r="W110" i="24"/>
  <c r="W110" i="41"/>
  <c r="T111" i="40"/>
  <c r="S111" i="40"/>
  <c r="N111" i="40"/>
  <c r="M111" i="40"/>
  <c r="R111" i="40"/>
  <c r="Q111" i="40"/>
  <c r="M111" i="24"/>
  <c r="Q111" i="24"/>
  <c r="N111" i="24"/>
  <c r="T111" i="24"/>
  <c r="S111" i="24"/>
  <c r="R111" i="24"/>
  <c r="S111" i="20"/>
  <c r="Q111" i="20"/>
  <c r="R111" i="20"/>
  <c r="T111" i="20"/>
  <c r="AG111" i="20"/>
  <c r="AF111" i="20"/>
  <c r="V110" i="41"/>
  <c r="AF111" i="10"/>
  <c r="AS111" i="10" s="1"/>
  <c r="T111" i="10"/>
  <c r="Q111" i="10"/>
  <c r="R111" i="10"/>
  <c r="M111" i="10"/>
  <c r="N111" i="10"/>
  <c r="S111" i="10"/>
  <c r="AG111" i="10"/>
  <c r="AT111" i="10" s="1"/>
  <c r="W110" i="40"/>
  <c r="N111" i="41"/>
  <c r="R111" i="41"/>
  <c r="Q111" i="41"/>
  <c r="T111" i="41"/>
  <c r="S111" i="41"/>
  <c r="M111" i="41"/>
  <c r="B112" i="20"/>
  <c r="B112" i="10"/>
  <c r="B112" i="41"/>
  <c r="B112" i="40"/>
  <c r="B112" i="24"/>
  <c r="D99" i="9"/>
  <c r="C100" i="9"/>
  <c r="W111" i="41" l="1"/>
  <c r="W111" i="40"/>
  <c r="C101" i="9"/>
  <c r="B113" i="10"/>
  <c r="B113" i="40"/>
  <c r="B113" i="24"/>
  <c r="B113" i="20"/>
  <c r="B113" i="41"/>
  <c r="D100" i="9"/>
  <c r="T112" i="24"/>
  <c r="S112" i="24"/>
  <c r="R112" i="24"/>
  <c r="M112" i="24"/>
  <c r="N112" i="24"/>
  <c r="Q112" i="24"/>
  <c r="T112" i="40"/>
  <c r="R112" i="40"/>
  <c r="N112" i="40"/>
  <c r="M112" i="40"/>
  <c r="Q112" i="40"/>
  <c r="S112" i="40"/>
  <c r="S112" i="41"/>
  <c r="Q112" i="41"/>
  <c r="M112" i="41"/>
  <c r="R112" i="41"/>
  <c r="N112" i="41"/>
  <c r="T112" i="41"/>
  <c r="AF112" i="10"/>
  <c r="AS112" i="10" s="1"/>
  <c r="N112" i="10"/>
  <c r="AG112" i="10"/>
  <c r="AT112" i="10" s="1"/>
  <c r="Q112" i="10"/>
  <c r="M112" i="10"/>
  <c r="S112" i="10"/>
  <c r="T112" i="10"/>
  <c r="R112" i="10"/>
  <c r="S112" i="20"/>
  <c r="R112" i="20"/>
  <c r="Q112" i="20"/>
  <c r="T112" i="20"/>
  <c r="AG112" i="20"/>
  <c r="AF112" i="20"/>
  <c r="W111" i="24"/>
  <c r="V111" i="41"/>
  <c r="V111" i="24"/>
  <c r="V111" i="40"/>
  <c r="Q113" i="41" l="1"/>
  <c r="M113" i="41"/>
  <c r="R113" i="41"/>
  <c r="N113" i="41"/>
  <c r="S113" i="41"/>
  <c r="T113" i="41"/>
  <c r="V112" i="40"/>
  <c r="T113" i="20"/>
  <c r="S113" i="20"/>
  <c r="R113" i="20"/>
  <c r="Q113" i="20"/>
  <c r="AG113" i="20"/>
  <c r="AF113" i="20"/>
  <c r="W112" i="40"/>
  <c r="T113" i="24"/>
  <c r="S113" i="24"/>
  <c r="R113" i="24"/>
  <c r="N113" i="24"/>
  <c r="Q113" i="24"/>
  <c r="M113" i="24"/>
  <c r="Q113" i="40"/>
  <c r="S113" i="40"/>
  <c r="T113" i="40"/>
  <c r="R113" i="40"/>
  <c r="N113" i="40"/>
  <c r="M113" i="40"/>
  <c r="AF113" i="10"/>
  <c r="AS113" i="10" s="1"/>
  <c r="N113" i="10"/>
  <c r="R113" i="10"/>
  <c r="M113" i="10"/>
  <c r="Q113" i="10"/>
  <c r="T113" i="10"/>
  <c r="AG113" i="10"/>
  <c r="AT113" i="10" s="1"/>
  <c r="S113" i="10"/>
  <c r="B114" i="10"/>
  <c r="B114" i="20"/>
  <c r="B114" i="40"/>
  <c r="B114" i="41"/>
  <c r="C102" i="9"/>
  <c r="D101" i="9"/>
  <c r="B114" i="24"/>
  <c r="W112" i="24"/>
  <c r="V112" i="24"/>
  <c r="W112" i="41"/>
  <c r="V112" i="41"/>
  <c r="S114" i="24" l="1"/>
  <c r="Q114" i="24"/>
  <c r="M114" i="24"/>
  <c r="R114" i="24"/>
  <c r="N114" i="24"/>
  <c r="T114" i="24"/>
  <c r="V113" i="40"/>
  <c r="W113" i="40"/>
  <c r="B115" i="20"/>
  <c r="D102" i="9"/>
  <c r="B115" i="10"/>
  <c r="C103" i="9"/>
  <c r="B115" i="24"/>
  <c r="B115" i="41"/>
  <c r="B115" i="40"/>
  <c r="R114" i="41"/>
  <c r="S114" i="41"/>
  <c r="M114" i="41"/>
  <c r="Q114" i="41"/>
  <c r="N114" i="41"/>
  <c r="T114" i="41"/>
  <c r="S114" i="40"/>
  <c r="M114" i="40"/>
  <c r="T114" i="40"/>
  <c r="R114" i="40"/>
  <c r="N114" i="40"/>
  <c r="Q114" i="40"/>
  <c r="R114" i="20"/>
  <c r="S114" i="20"/>
  <c r="T114" i="20"/>
  <c r="Q114" i="20"/>
  <c r="AG114" i="20"/>
  <c r="AF114" i="20"/>
  <c r="AF114" i="10"/>
  <c r="AS114" i="10" s="1"/>
  <c r="Q114" i="10"/>
  <c r="T114" i="10"/>
  <c r="R114" i="10"/>
  <c r="N114" i="10"/>
  <c r="M114" i="10"/>
  <c r="S114" i="10"/>
  <c r="AG114" i="10"/>
  <c r="AT114" i="10" s="1"/>
  <c r="V113" i="24"/>
  <c r="W113" i="24"/>
  <c r="W113" i="41"/>
  <c r="V113" i="41"/>
  <c r="N115" i="24" l="1"/>
  <c r="R115" i="24"/>
  <c r="Q115" i="24"/>
  <c r="T115" i="24"/>
  <c r="S115" i="24"/>
  <c r="M115" i="24"/>
  <c r="B116" i="10"/>
  <c r="B116" i="20"/>
  <c r="C104" i="9"/>
  <c r="B116" i="41"/>
  <c r="B116" i="40"/>
  <c r="D103" i="9"/>
  <c r="B116" i="24"/>
  <c r="W114" i="40"/>
  <c r="AF115" i="10"/>
  <c r="AS115" i="10" s="1"/>
  <c r="R115" i="10"/>
  <c r="M115" i="10"/>
  <c r="Q115" i="10"/>
  <c r="N115" i="10"/>
  <c r="AG115" i="10"/>
  <c r="AT115" i="10" s="1"/>
  <c r="S115" i="10"/>
  <c r="T115" i="10"/>
  <c r="T115" i="20"/>
  <c r="R115" i="20"/>
  <c r="Q115" i="20"/>
  <c r="S115" i="20"/>
  <c r="AG115" i="20"/>
  <c r="AF115" i="20"/>
  <c r="V114" i="40"/>
  <c r="W114" i="41"/>
  <c r="W114" i="24"/>
  <c r="V114" i="41"/>
  <c r="V114" i="24"/>
  <c r="N115" i="40"/>
  <c r="T115" i="40"/>
  <c r="R115" i="40"/>
  <c r="M115" i="40"/>
  <c r="S115" i="40"/>
  <c r="Q115" i="40"/>
  <c r="T115" i="41"/>
  <c r="R115" i="41"/>
  <c r="Q115" i="41"/>
  <c r="M115" i="41"/>
  <c r="S115" i="41"/>
  <c r="N115" i="41"/>
  <c r="R116" i="24" l="1"/>
  <c r="Q116" i="24"/>
  <c r="N116" i="24"/>
  <c r="M116" i="24"/>
  <c r="S116" i="24"/>
  <c r="T116" i="24"/>
  <c r="W115" i="40"/>
  <c r="T116" i="40"/>
  <c r="R116" i="40"/>
  <c r="S116" i="40"/>
  <c r="Q116" i="40"/>
  <c r="M116" i="40"/>
  <c r="N116" i="40"/>
  <c r="M116" i="41"/>
  <c r="Q116" i="41"/>
  <c r="S116" i="41"/>
  <c r="N116" i="41"/>
  <c r="T116" i="41"/>
  <c r="R116" i="41"/>
  <c r="D104" i="9"/>
  <c r="B117" i="40"/>
  <c r="B117" i="41"/>
  <c r="B117" i="24"/>
  <c r="B117" i="10"/>
  <c r="C105" i="9"/>
  <c r="B117" i="20"/>
  <c r="V115" i="40"/>
  <c r="W115" i="41"/>
  <c r="T116" i="20"/>
  <c r="Q116" i="20"/>
  <c r="S116" i="20"/>
  <c r="R116" i="20"/>
  <c r="AG116" i="20"/>
  <c r="AF116" i="20"/>
  <c r="AF116" i="10"/>
  <c r="AS116" i="10" s="1"/>
  <c r="Q116" i="10"/>
  <c r="N116" i="10"/>
  <c r="AG116" i="10"/>
  <c r="AT116" i="10" s="1"/>
  <c r="R116" i="10"/>
  <c r="S116" i="10"/>
  <c r="T116" i="10"/>
  <c r="M116" i="10"/>
  <c r="V115" i="24"/>
  <c r="W115" i="24"/>
  <c r="V115" i="41"/>
  <c r="W116" i="40" l="1"/>
  <c r="V116" i="40"/>
  <c r="Q117" i="20"/>
  <c r="T117" i="20"/>
  <c r="R117" i="20"/>
  <c r="S117" i="20"/>
  <c r="AG117" i="20"/>
  <c r="AF117" i="20"/>
  <c r="B118" i="24"/>
  <c r="B118" i="10"/>
  <c r="B118" i="41"/>
  <c r="B118" i="40"/>
  <c r="B118" i="20"/>
  <c r="C106" i="9"/>
  <c r="D105" i="9"/>
  <c r="AF117" i="10"/>
  <c r="AS117" i="10" s="1"/>
  <c r="AG117" i="10"/>
  <c r="AT117" i="10" s="1"/>
  <c r="N117" i="10"/>
  <c r="T117" i="10"/>
  <c r="R117" i="10"/>
  <c r="S117" i="10"/>
  <c r="Q117" i="10"/>
  <c r="M117" i="10"/>
  <c r="T117" i="24"/>
  <c r="S117" i="24"/>
  <c r="Q117" i="24"/>
  <c r="M117" i="24"/>
  <c r="R117" i="24"/>
  <c r="N117" i="24"/>
  <c r="N117" i="41"/>
  <c r="Q117" i="41"/>
  <c r="T117" i="41"/>
  <c r="R117" i="41"/>
  <c r="M117" i="41"/>
  <c r="S117" i="41"/>
  <c r="N117" i="40"/>
  <c r="T117" i="40"/>
  <c r="R117" i="40"/>
  <c r="M117" i="40"/>
  <c r="S117" i="40"/>
  <c r="Q117" i="40"/>
  <c r="V116" i="24"/>
  <c r="W116" i="24"/>
  <c r="W116" i="41"/>
  <c r="V116" i="41"/>
  <c r="W117" i="24" l="1"/>
  <c r="S118" i="20"/>
  <c r="R118" i="20"/>
  <c r="T118" i="20"/>
  <c r="Q118" i="20"/>
  <c r="AG118" i="20"/>
  <c r="AF118" i="20"/>
  <c r="M118" i="40"/>
  <c r="Q118" i="40"/>
  <c r="T118" i="40"/>
  <c r="R118" i="40"/>
  <c r="S118" i="40"/>
  <c r="N118" i="40"/>
  <c r="V117" i="24"/>
  <c r="N118" i="41"/>
  <c r="T118" i="41"/>
  <c r="M118" i="41"/>
  <c r="R118" i="41"/>
  <c r="S118" i="41"/>
  <c r="Q118" i="41"/>
  <c r="AF118" i="10"/>
  <c r="AS118" i="10" s="1"/>
  <c r="R118" i="10"/>
  <c r="T118" i="10"/>
  <c r="AG118" i="10"/>
  <c r="AT118" i="10" s="1"/>
  <c r="Q118" i="10"/>
  <c r="M118" i="10"/>
  <c r="N118" i="10"/>
  <c r="S118" i="10"/>
  <c r="N118" i="24"/>
  <c r="R118" i="24"/>
  <c r="T118" i="24"/>
  <c r="S118" i="24"/>
  <c r="M118" i="24"/>
  <c r="Q118" i="24"/>
  <c r="V117" i="40"/>
  <c r="W117" i="40"/>
  <c r="V117" i="41"/>
  <c r="W117" i="41"/>
  <c r="C107" i="9"/>
  <c r="B119" i="41"/>
  <c r="B119" i="40"/>
  <c r="B119" i="10"/>
  <c r="B119" i="24"/>
  <c r="D106" i="9"/>
  <c r="B119" i="20"/>
  <c r="W118" i="40" l="1"/>
  <c r="V118" i="40"/>
  <c r="Q119" i="20"/>
  <c r="S119" i="20"/>
  <c r="T119" i="20"/>
  <c r="R119" i="20"/>
  <c r="AG119" i="20"/>
  <c r="AF119" i="20"/>
  <c r="R119" i="24"/>
  <c r="T119" i="24"/>
  <c r="S119" i="24"/>
  <c r="Q119" i="24"/>
  <c r="N119" i="24"/>
  <c r="M119" i="24"/>
  <c r="R119" i="40"/>
  <c r="N119" i="40"/>
  <c r="Q119" i="40"/>
  <c r="T119" i="40"/>
  <c r="S119" i="40"/>
  <c r="M119" i="40"/>
  <c r="V118" i="24"/>
  <c r="V118" i="41"/>
  <c r="AF119" i="10"/>
  <c r="AS119" i="10" s="1"/>
  <c r="Q119" i="10"/>
  <c r="N119" i="10"/>
  <c r="M119" i="10"/>
  <c r="R119" i="10"/>
  <c r="S119" i="10"/>
  <c r="T119" i="10"/>
  <c r="AG119" i="10"/>
  <c r="AT119" i="10" s="1"/>
  <c r="S119" i="41"/>
  <c r="M119" i="41"/>
  <c r="Q119" i="41"/>
  <c r="T119" i="41"/>
  <c r="N119" i="41"/>
  <c r="R119" i="41"/>
  <c r="W118" i="41"/>
  <c r="B120" i="10"/>
  <c r="C108" i="9"/>
  <c r="D107" i="9"/>
  <c r="B120" i="41"/>
  <c r="B120" i="40"/>
  <c r="B120" i="20"/>
  <c r="B120" i="24"/>
  <c r="W118" i="24"/>
  <c r="B121" i="40" l="1"/>
  <c r="D108" i="9"/>
  <c r="C109" i="9"/>
  <c r="B121" i="20"/>
  <c r="B121" i="41"/>
  <c r="B121" i="10"/>
  <c r="B121" i="24"/>
  <c r="AF120" i="10"/>
  <c r="AS120" i="10" s="1"/>
  <c r="AG120" i="10"/>
  <c r="AT120" i="10" s="1"/>
  <c r="M120" i="10"/>
  <c r="Q120" i="10"/>
  <c r="N120" i="10"/>
  <c r="R120" i="10"/>
  <c r="T120" i="10"/>
  <c r="S120" i="10"/>
  <c r="W119" i="41"/>
  <c r="V119" i="40"/>
  <c r="V119" i="41"/>
  <c r="M120" i="24"/>
  <c r="S120" i="24"/>
  <c r="T120" i="24"/>
  <c r="Q120" i="24"/>
  <c r="R120" i="24"/>
  <c r="N120" i="24"/>
  <c r="W119" i="40"/>
  <c r="V119" i="24"/>
  <c r="N120" i="40"/>
  <c r="T120" i="40"/>
  <c r="Q120" i="40"/>
  <c r="M120" i="40"/>
  <c r="R120" i="40"/>
  <c r="S120" i="40"/>
  <c r="W119" i="24"/>
  <c r="T120" i="20"/>
  <c r="R120" i="20"/>
  <c r="S120" i="20"/>
  <c r="Q120" i="20"/>
  <c r="AG120" i="20"/>
  <c r="AF120" i="20"/>
  <c r="R120" i="41"/>
  <c r="Q120" i="41"/>
  <c r="T120" i="41"/>
  <c r="N120" i="41"/>
  <c r="S120" i="41"/>
  <c r="M120" i="41"/>
  <c r="W120" i="24" l="1"/>
  <c r="V120" i="24"/>
  <c r="W120" i="41"/>
  <c r="V120" i="40"/>
  <c r="R121" i="24"/>
  <c r="M121" i="24"/>
  <c r="N121" i="24"/>
  <c r="T121" i="24"/>
  <c r="S121" i="24"/>
  <c r="Q121" i="24"/>
  <c r="AF121" i="10"/>
  <c r="AS121" i="10" s="1"/>
  <c r="R121" i="10"/>
  <c r="Q121" i="10"/>
  <c r="S121" i="10"/>
  <c r="M121" i="10"/>
  <c r="N121" i="10"/>
  <c r="AG121" i="10"/>
  <c r="AT121" i="10" s="1"/>
  <c r="T121" i="10"/>
  <c r="W120" i="40"/>
  <c r="R121" i="41"/>
  <c r="N121" i="41"/>
  <c r="Q121" i="41"/>
  <c r="S121" i="41"/>
  <c r="M121" i="41"/>
  <c r="T121" i="41"/>
  <c r="V120" i="41"/>
  <c r="R121" i="20"/>
  <c r="Q121" i="20"/>
  <c r="S121" i="20"/>
  <c r="T121" i="20"/>
  <c r="AG121" i="20"/>
  <c r="AF121" i="20"/>
  <c r="B122" i="40"/>
  <c r="B122" i="41"/>
  <c r="B122" i="20"/>
  <c r="C110" i="9"/>
  <c r="B122" i="10"/>
  <c r="B122" i="24"/>
  <c r="D109" i="9"/>
  <c r="M121" i="40"/>
  <c r="S121" i="40"/>
  <c r="Q121" i="40"/>
  <c r="R121" i="40"/>
  <c r="T121" i="40"/>
  <c r="N121" i="40"/>
  <c r="T122" i="20" l="1"/>
  <c r="R122" i="20"/>
  <c r="Q122" i="20"/>
  <c r="S122" i="20"/>
  <c r="AG122" i="20"/>
  <c r="AF122" i="20"/>
  <c r="W121" i="41"/>
  <c r="W121" i="24"/>
  <c r="R122" i="41"/>
  <c r="T122" i="41"/>
  <c r="N122" i="41"/>
  <c r="S122" i="41"/>
  <c r="Q122" i="41"/>
  <c r="M122" i="41"/>
  <c r="V121" i="24"/>
  <c r="M122" i="40"/>
  <c r="S122" i="40"/>
  <c r="R122" i="40"/>
  <c r="N122" i="40"/>
  <c r="T122" i="40"/>
  <c r="Q122" i="40"/>
  <c r="W121" i="40"/>
  <c r="V121" i="40"/>
  <c r="Q122" i="24"/>
  <c r="M122" i="24"/>
  <c r="R122" i="24"/>
  <c r="T122" i="24"/>
  <c r="S122" i="24"/>
  <c r="N122" i="24"/>
  <c r="V121" i="41"/>
  <c r="AF122" i="10"/>
  <c r="AS122" i="10" s="1"/>
  <c r="Q122" i="10"/>
  <c r="AG122" i="10"/>
  <c r="AT122" i="10" s="1"/>
  <c r="N122" i="10"/>
  <c r="R122" i="10"/>
  <c r="M122" i="10"/>
  <c r="T122" i="10"/>
  <c r="S122" i="10"/>
  <c r="B123" i="40"/>
  <c r="B123" i="41"/>
  <c r="B123" i="20"/>
  <c r="D110" i="9"/>
  <c r="B123" i="10"/>
  <c r="C111" i="9"/>
  <c r="B123" i="24"/>
  <c r="W122" i="41" l="1"/>
  <c r="Q123" i="24"/>
  <c r="N123" i="24"/>
  <c r="R123" i="24"/>
  <c r="M123" i="24"/>
  <c r="S123" i="24"/>
  <c r="T123" i="24"/>
  <c r="B124" i="10"/>
  <c r="B124" i="20"/>
  <c r="C112" i="9"/>
  <c r="B124" i="24"/>
  <c r="D111" i="9"/>
  <c r="B124" i="41"/>
  <c r="B124" i="40"/>
  <c r="W122" i="24"/>
  <c r="AF123" i="10"/>
  <c r="AS123" i="10" s="1"/>
  <c r="T123" i="10"/>
  <c r="S123" i="10"/>
  <c r="AG123" i="10"/>
  <c r="AT123" i="10" s="1"/>
  <c r="N123" i="10"/>
  <c r="M123" i="10"/>
  <c r="R123" i="10"/>
  <c r="Q123" i="10"/>
  <c r="W122" i="40"/>
  <c r="T123" i="20"/>
  <c r="Q123" i="20"/>
  <c r="S123" i="20"/>
  <c r="R123" i="20"/>
  <c r="AG123" i="20"/>
  <c r="AF123" i="20"/>
  <c r="T123" i="41"/>
  <c r="N123" i="41"/>
  <c r="R123" i="41"/>
  <c r="Q123" i="41"/>
  <c r="S123" i="41"/>
  <c r="M123" i="41"/>
  <c r="V122" i="24"/>
  <c r="S123" i="40"/>
  <c r="R123" i="40"/>
  <c r="N123" i="40"/>
  <c r="M123" i="40"/>
  <c r="T123" i="40"/>
  <c r="Q123" i="40"/>
  <c r="V122" i="40"/>
  <c r="V122" i="41"/>
  <c r="B125" i="10" l="1"/>
  <c r="B125" i="41"/>
  <c r="B125" i="40"/>
  <c r="D112" i="9"/>
  <c r="B125" i="24"/>
  <c r="C113" i="9"/>
  <c r="B125" i="20"/>
  <c r="R124" i="20"/>
  <c r="S124" i="20"/>
  <c r="Q124" i="20"/>
  <c r="T124" i="20"/>
  <c r="AG124" i="20"/>
  <c r="AF124" i="20"/>
  <c r="AF124" i="10"/>
  <c r="AS124" i="10" s="1"/>
  <c r="T124" i="10"/>
  <c r="AG124" i="10"/>
  <c r="AT124" i="10" s="1"/>
  <c r="S124" i="10"/>
  <c r="N124" i="10"/>
  <c r="Q124" i="10"/>
  <c r="R124" i="10"/>
  <c r="M124" i="10"/>
  <c r="V123" i="41"/>
  <c r="V123" i="24"/>
  <c r="W123" i="24"/>
  <c r="M124" i="40"/>
  <c r="Q124" i="40"/>
  <c r="S124" i="40"/>
  <c r="R124" i="40"/>
  <c r="N124" i="40"/>
  <c r="T124" i="40"/>
  <c r="W123" i="41"/>
  <c r="V123" i="40"/>
  <c r="N124" i="41"/>
  <c r="S124" i="41"/>
  <c r="T124" i="41"/>
  <c r="R124" i="41"/>
  <c r="M124" i="41"/>
  <c r="Q124" i="41"/>
  <c r="W123" i="40"/>
  <c r="S124" i="24"/>
  <c r="Q124" i="24"/>
  <c r="R124" i="24"/>
  <c r="T124" i="24"/>
  <c r="N124" i="24"/>
  <c r="M124" i="24"/>
  <c r="W124" i="41" l="1"/>
  <c r="V124" i="24"/>
  <c r="W124" i="24"/>
  <c r="V124" i="41"/>
  <c r="R125" i="20"/>
  <c r="S125" i="20"/>
  <c r="T125" i="20"/>
  <c r="Q125" i="20"/>
  <c r="AG125" i="20"/>
  <c r="AF125" i="20"/>
  <c r="C114" i="9"/>
  <c r="B126" i="41"/>
  <c r="B126" i="24"/>
  <c r="B126" i="40"/>
  <c r="D113" i="9"/>
  <c r="B126" i="10"/>
  <c r="B126" i="20"/>
  <c r="W124" i="40"/>
  <c r="Q125" i="24"/>
  <c r="M125" i="24"/>
  <c r="S125" i="24"/>
  <c r="T125" i="24"/>
  <c r="R125" i="24"/>
  <c r="N125" i="24"/>
  <c r="M125" i="40"/>
  <c r="S125" i="40"/>
  <c r="Q125" i="40"/>
  <c r="T125" i="40"/>
  <c r="R125" i="40"/>
  <c r="N125" i="40"/>
  <c r="N125" i="41"/>
  <c r="Q125" i="41"/>
  <c r="T125" i="41"/>
  <c r="R125" i="41"/>
  <c r="S125" i="41"/>
  <c r="M125" i="41"/>
  <c r="V124" i="40"/>
  <c r="T125" i="10"/>
  <c r="N125" i="10"/>
  <c r="AF125" i="10"/>
  <c r="AS125" i="10" s="1"/>
  <c r="R125" i="10"/>
  <c r="S125" i="10"/>
  <c r="AG125" i="10"/>
  <c r="AT125" i="10" s="1"/>
  <c r="M125" i="10"/>
  <c r="Q125" i="10"/>
  <c r="V125" i="41" l="1"/>
  <c r="V125" i="24"/>
  <c r="W125" i="41"/>
  <c r="T126" i="20"/>
  <c r="S126" i="20"/>
  <c r="Q126" i="20"/>
  <c r="R126" i="20"/>
  <c r="AG126" i="20"/>
  <c r="AF126" i="20"/>
  <c r="R126" i="10"/>
  <c r="AF126" i="10"/>
  <c r="AS126" i="10" s="1"/>
  <c r="Q126" i="10"/>
  <c r="T126" i="10"/>
  <c r="M126" i="10"/>
  <c r="N126" i="10"/>
  <c r="S126" i="10"/>
  <c r="AG126" i="10"/>
  <c r="AT126" i="10" s="1"/>
  <c r="W125" i="40"/>
  <c r="T126" i="40"/>
  <c r="S126" i="40"/>
  <c r="N126" i="40"/>
  <c r="Q126" i="40"/>
  <c r="M126" i="40"/>
  <c r="R126" i="40"/>
  <c r="M126" i="24"/>
  <c r="R126" i="24"/>
  <c r="T126" i="24"/>
  <c r="S126" i="24"/>
  <c r="N126" i="24"/>
  <c r="Q126" i="24"/>
  <c r="R126" i="41"/>
  <c r="S126" i="41"/>
  <c r="M126" i="41"/>
  <c r="Q126" i="41"/>
  <c r="T126" i="41"/>
  <c r="N126" i="41"/>
  <c r="B127" i="40"/>
  <c r="B127" i="41"/>
  <c r="B127" i="24"/>
  <c r="D114" i="9"/>
  <c r="C115" i="9"/>
  <c r="B127" i="10"/>
  <c r="B127" i="20"/>
  <c r="V125" i="40"/>
  <c r="W125" i="24"/>
  <c r="V126" i="24" l="1"/>
  <c r="S127" i="24"/>
  <c r="T127" i="24"/>
  <c r="R127" i="24"/>
  <c r="Q127" i="24"/>
  <c r="M127" i="24"/>
  <c r="N127" i="24"/>
  <c r="V126" i="40"/>
  <c r="S127" i="41"/>
  <c r="Q127" i="41"/>
  <c r="M127" i="41"/>
  <c r="N127" i="41"/>
  <c r="T127" i="41"/>
  <c r="R127" i="41"/>
  <c r="R127" i="40"/>
  <c r="M127" i="40"/>
  <c r="N127" i="40"/>
  <c r="Q127" i="40"/>
  <c r="S127" i="40"/>
  <c r="T127" i="40"/>
  <c r="W126" i="41"/>
  <c r="W126" i="40"/>
  <c r="V126" i="41"/>
  <c r="W126" i="24"/>
  <c r="T127" i="20"/>
  <c r="Q127" i="20"/>
  <c r="R127" i="20"/>
  <c r="S127" i="20"/>
  <c r="AG127" i="20"/>
  <c r="AF127" i="20"/>
  <c r="S127" i="10"/>
  <c r="T127" i="10"/>
  <c r="Q127" i="10"/>
  <c r="R127" i="10"/>
  <c r="M127" i="10"/>
  <c r="N127" i="10"/>
  <c r="AF127" i="10"/>
  <c r="AS127" i="10" s="1"/>
  <c r="AG127" i="10"/>
  <c r="AT127" i="10" s="1"/>
  <c r="B128" i="10"/>
  <c r="C116" i="9"/>
  <c r="D115" i="9"/>
  <c r="B128" i="20"/>
  <c r="B128" i="24"/>
  <c r="B128" i="41"/>
  <c r="B128" i="40"/>
  <c r="W127" i="41" l="1"/>
  <c r="V127" i="41"/>
  <c r="N128" i="40"/>
  <c r="M128" i="40"/>
  <c r="S128" i="40"/>
  <c r="Q128" i="40"/>
  <c r="R128" i="40"/>
  <c r="T128" i="40"/>
  <c r="T128" i="41"/>
  <c r="R128" i="41"/>
  <c r="N128" i="41"/>
  <c r="Q128" i="41"/>
  <c r="S128" i="41"/>
  <c r="M128" i="41"/>
  <c r="W127" i="24"/>
  <c r="Q128" i="24"/>
  <c r="T128" i="24"/>
  <c r="R128" i="24"/>
  <c r="M128" i="24"/>
  <c r="N128" i="24"/>
  <c r="S128" i="24"/>
  <c r="V127" i="24"/>
  <c r="R128" i="20"/>
  <c r="T128" i="20"/>
  <c r="S128" i="20"/>
  <c r="Q128" i="20"/>
  <c r="AG128" i="20"/>
  <c r="AF128" i="20"/>
  <c r="C117" i="9"/>
  <c r="B129" i="10"/>
  <c r="D116" i="9"/>
  <c r="B129" i="24"/>
  <c r="B129" i="40"/>
  <c r="B129" i="41"/>
  <c r="B129" i="20"/>
  <c r="W127" i="40"/>
  <c r="M128" i="10"/>
  <c r="AG128" i="10"/>
  <c r="AT128" i="10" s="1"/>
  <c r="S128" i="10"/>
  <c r="AF128" i="10"/>
  <c r="AS128" i="10" s="1"/>
  <c r="Q128" i="10"/>
  <c r="T128" i="10"/>
  <c r="R128" i="10"/>
  <c r="N128" i="10"/>
  <c r="V127" i="40"/>
  <c r="Q129" i="20" l="1"/>
  <c r="R129" i="20"/>
  <c r="T129" i="20"/>
  <c r="S129" i="20"/>
  <c r="AG129" i="20"/>
  <c r="AF129" i="20"/>
  <c r="W128" i="24"/>
  <c r="Q129" i="41"/>
  <c r="R129" i="41"/>
  <c r="N129" i="41"/>
  <c r="T129" i="41"/>
  <c r="S129" i="41"/>
  <c r="M129" i="41"/>
  <c r="V128" i="24"/>
  <c r="S129" i="40"/>
  <c r="N129" i="40"/>
  <c r="Q129" i="40"/>
  <c r="M129" i="40"/>
  <c r="T129" i="40"/>
  <c r="R129" i="40"/>
  <c r="V128" i="40"/>
  <c r="T129" i="24"/>
  <c r="S129" i="24"/>
  <c r="Q129" i="24"/>
  <c r="N129" i="24"/>
  <c r="M129" i="24"/>
  <c r="R129" i="24"/>
  <c r="W128" i="40"/>
  <c r="T129" i="10"/>
  <c r="R129" i="10"/>
  <c r="M129" i="10"/>
  <c r="Q129" i="10"/>
  <c r="S129" i="10"/>
  <c r="AG129" i="10"/>
  <c r="AT129" i="10" s="1"/>
  <c r="AF129" i="10"/>
  <c r="AS129" i="10" s="1"/>
  <c r="N129" i="10"/>
  <c r="B130" i="40"/>
  <c r="B130" i="41"/>
  <c r="B130" i="24"/>
  <c r="D117" i="9"/>
  <c r="B130" i="20"/>
  <c r="C118" i="9"/>
  <c r="B130" i="10"/>
  <c r="V128" i="41"/>
  <c r="W128" i="41"/>
  <c r="T130" i="24" l="1"/>
  <c r="R130" i="24"/>
  <c r="S130" i="24"/>
  <c r="N130" i="24"/>
  <c r="Q130" i="24"/>
  <c r="M130" i="24"/>
  <c r="W129" i="24"/>
  <c r="V129" i="41"/>
  <c r="Q130" i="41"/>
  <c r="T130" i="41"/>
  <c r="S130" i="41"/>
  <c r="M130" i="41"/>
  <c r="R130" i="41"/>
  <c r="N130" i="41"/>
  <c r="W129" i="41"/>
  <c r="R130" i="40"/>
  <c r="N130" i="40"/>
  <c r="T130" i="40"/>
  <c r="Q130" i="40"/>
  <c r="M130" i="40"/>
  <c r="S130" i="40"/>
  <c r="V129" i="40"/>
  <c r="W129" i="40"/>
  <c r="B131" i="20"/>
  <c r="D118" i="9"/>
  <c r="B131" i="10"/>
  <c r="C119" i="9"/>
  <c r="B131" i="24"/>
  <c r="B131" i="40"/>
  <c r="B131" i="41"/>
  <c r="AF130" i="10"/>
  <c r="AS130" i="10" s="1"/>
  <c r="T130" i="10"/>
  <c r="N130" i="10"/>
  <c r="R130" i="10"/>
  <c r="M130" i="10"/>
  <c r="AG130" i="10"/>
  <c r="AT130" i="10" s="1"/>
  <c r="Q130" i="10"/>
  <c r="S130" i="10"/>
  <c r="S130" i="20"/>
  <c r="Q130" i="20"/>
  <c r="T130" i="20"/>
  <c r="R130" i="20"/>
  <c r="AG130" i="20"/>
  <c r="AF130" i="20"/>
  <c r="V129" i="24"/>
  <c r="R131" i="20" l="1"/>
  <c r="Q131" i="20"/>
  <c r="S131" i="20"/>
  <c r="T131" i="20"/>
  <c r="AG131" i="20"/>
  <c r="AF131" i="20"/>
  <c r="W130" i="41"/>
  <c r="V130" i="41"/>
  <c r="V130" i="40"/>
  <c r="Q131" i="41"/>
  <c r="T131" i="41"/>
  <c r="R131" i="41"/>
  <c r="N131" i="41"/>
  <c r="S131" i="41"/>
  <c r="M131" i="41"/>
  <c r="W130" i="40"/>
  <c r="V130" i="24"/>
  <c r="Q131" i="40"/>
  <c r="T131" i="40"/>
  <c r="R131" i="40"/>
  <c r="N131" i="40"/>
  <c r="M131" i="40"/>
  <c r="S131" i="40"/>
  <c r="R131" i="24"/>
  <c r="N131" i="24"/>
  <c r="M131" i="24"/>
  <c r="T131" i="24"/>
  <c r="S131" i="24"/>
  <c r="Q131" i="24"/>
  <c r="W130" i="24"/>
  <c r="B132" i="24"/>
  <c r="B132" i="20"/>
  <c r="D119" i="9"/>
  <c r="C120" i="9"/>
  <c r="B132" i="40"/>
  <c r="B132" i="10"/>
  <c r="B132" i="41"/>
  <c r="AF131" i="10"/>
  <c r="AS131" i="10" s="1"/>
  <c r="S131" i="10"/>
  <c r="M131" i="10"/>
  <c r="Q131" i="10"/>
  <c r="T131" i="10"/>
  <c r="N131" i="10"/>
  <c r="R131" i="10"/>
  <c r="AG131" i="10"/>
  <c r="AT131" i="10" s="1"/>
  <c r="T132" i="41" l="1"/>
  <c r="R132" i="41"/>
  <c r="Q132" i="41"/>
  <c r="N132" i="41"/>
  <c r="S132" i="41"/>
  <c r="M132" i="41"/>
  <c r="AF132" i="10"/>
  <c r="AS132" i="10" s="1"/>
  <c r="N132" i="10"/>
  <c r="M132" i="10"/>
  <c r="R132" i="10"/>
  <c r="S132" i="10"/>
  <c r="Q132" i="10"/>
  <c r="T132" i="10"/>
  <c r="AG132" i="10"/>
  <c r="AT132" i="10" s="1"/>
  <c r="V131" i="40"/>
  <c r="N132" i="40"/>
  <c r="S132" i="40"/>
  <c r="Q132" i="40"/>
  <c r="T132" i="40"/>
  <c r="R132" i="40"/>
  <c r="M132" i="40"/>
  <c r="W131" i="40"/>
  <c r="C121" i="9"/>
  <c r="B133" i="10"/>
  <c r="B133" i="20"/>
  <c r="B133" i="40"/>
  <c r="B133" i="41"/>
  <c r="B133" i="24"/>
  <c r="D120" i="9"/>
  <c r="T132" i="20"/>
  <c r="S132" i="20"/>
  <c r="Q132" i="20"/>
  <c r="R132" i="20"/>
  <c r="AG132" i="20"/>
  <c r="AF132" i="20"/>
  <c r="S132" i="24"/>
  <c r="M132" i="24"/>
  <c r="N132" i="24"/>
  <c r="Q132" i="24"/>
  <c r="R132" i="24"/>
  <c r="T132" i="24"/>
  <c r="V131" i="41"/>
  <c r="W131" i="41"/>
  <c r="V131" i="24"/>
  <c r="W131" i="24"/>
  <c r="S133" i="41" l="1"/>
  <c r="T133" i="41"/>
  <c r="Q133" i="41"/>
  <c r="R133" i="41"/>
  <c r="M133" i="41"/>
  <c r="N133" i="41"/>
  <c r="R133" i="40"/>
  <c r="N133" i="40"/>
  <c r="S133" i="40"/>
  <c r="Q133" i="40"/>
  <c r="M133" i="40"/>
  <c r="T133" i="40"/>
  <c r="T133" i="20"/>
  <c r="Q133" i="20"/>
  <c r="R133" i="20"/>
  <c r="S133" i="20"/>
  <c r="AG133" i="20"/>
  <c r="AF133" i="20"/>
  <c r="W132" i="24"/>
  <c r="AG133" i="10"/>
  <c r="AT133" i="10" s="1"/>
  <c r="M133" i="10"/>
  <c r="T133" i="10"/>
  <c r="AF133" i="10"/>
  <c r="AS133" i="10" s="1"/>
  <c r="R133" i="10"/>
  <c r="S133" i="10"/>
  <c r="N133" i="10"/>
  <c r="Q133" i="10"/>
  <c r="V132" i="24"/>
  <c r="B134" i="41"/>
  <c r="B134" i="40"/>
  <c r="C122" i="9"/>
  <c r="B134" i="20"/>
  <c r="D121" i="9"/>
  <c r="B134" i="10"/>
  <c r="B134" i="24"/>
  <c r="V132" i="40"/>
  <c r="V132" i="41"/>
  <c r="W132" i="40"/>
  <c r="W132" i="41"/>
  <c r="Q133" i="24"/>
  <c r="R133" i="24"/>
  <c r="M133" i="24"/>
  <c r="N133" i="24"/>
  <c r="T133" i="24"/>
  <c r="S133" i="24"/>
  <c r="T134" i="40" l="1"/>
  <c r="R134" i="40"/>
  <c r="N134" i="40"/>
  <c r="S134" i="40"/>
  <c r="Q134" i="40"/>
  <c r="M134" i="40"/>
  <c r="S134" i="41"/>
  <c r="Q134" i="41"/>
  <c r="M134" i="41"/>
  <c r="R134" i="41"/>
  <c r="N134" i="41"/>
  <c r="T134" i="41"/>
  <c r="V133" i="40"/>
  <c r="W133" i="40"/>
  <c r="V133" i="24"/>
  <c r="W133" i="41"/>
  <c r="Q134" i="24"/>
  <c r="M134" i="24"/>
  <c r="N134" i="24"/>
  <c r="R134" i="24"/>
  <c r="S134" i="24"/>
  <c r="T134" i="24"/>
  <c r="V133" i="41"/>
  <c r="T134" i="10"/>
  <c r="Q134" i="10"/>
  <c r="R134" i="10"/>
  <c r="N134" i="10"/>
  <c r="S134" i="10"/>
  <c r="M134" i="10"/>
  <c r="AG134" i="10"/>
  <c r="AT134" i="10" s="1"/>
  <c r="AF134" i="10"/>
  <c r="AS134" i="10" s="1"/>
  <c r="Q134" i="20"/>
  <c r="T134" i="20"/>
  <c r="R134" i="20"/>
  <c r="S134" i="20"/>
  <c r="AG134" i="20"/>
  <c r="AF134" i="20"/>
  <c r="W133" i="24"/>
  <c r="B135" i="40"/>
  <c r="B135" i="41"/>
  <c r="B135" i="24"/>
  <c r="B135" i="20"/>
  <c r="B135" i="10"/>
  <c r="D122" i="9"/>
  <c r="W134" i="41" l="1"/>
  <c r="W134" i="24"/>
  <c r="V134" i="41"/>
  <c r="V134" i="24"/>
  <c r="Q135" i="10"/>
  <c r="N135" i="10"/>
  <c r="M135" i="10"/>
  <c r="R135" i="10"/>
  <c r="AG135" i="10"/>
  <c r="T135" i="10"/>
  <c r="AF135" i="10"/>
  <c r="S135" i="10"/>
  <c r="V134" i="40"/>
  <c r="S135" i="20"/>
  <c r="T135" i="20"/>
  <c r="Q135" i="20"/>
  <c r="R135" i="20"/>
  <c r="AG135" i="20"/>
  <c r="AF135" i="20"/>
  <c r="N135" i="41"/>
  <c r="M135" i="41"/>
  <c r="S135" i="41"/>
  <c r="R135" i="41"/>
  <c r="Q135" i="41"/>
  <c r="T135" i="41"/>
  <c r="W134" i="40"/>
  <c r="N135" i="24"/>
  <c r="R135" i="24"/>
  <c r="T135" i="24"/>
  <c r="M135" i="24"/>
  <c r="Q135" i="24"/>
  <c r="S135" i="24"/>
  <c r="R135" i="40"/>
  <c r="T135" i="40"/>
  <c r="N135" i="40"/>
  <c r="Q135" i="40"/>
  <c r="M135" i="40"/>
  <c r="S135" i="40"/>
  <c r="AS135" i="10" l="1"/>
  <c r="AT135" i="10"/>
  <c r="V135" i="41"/>
  <c r="W135" i="41"/>
  <c r="V135" i="24"/>
  <c r="AT12" i="24" s="1" a="1"/>
  <c r="AT12" i="24" s="1"/>
  <c r="BB7" i="24" s="1"/>
  <c r="W135" i="40"/>
  <c r="AU12" i="40" s="1" a="1"/>
  <c r="AU12" i="40" s="1"/>
  <c r="W135" i="24"/>
  <c r="AU12" i="24" s="1" a="1"/>
  <c r="AU12" i="24" s="1"/>
  <c r="BC7" i="24" s="1"/>
  <c r="V135" i="40"/>
  <c r="AT12" i="40" s="1" a="1"/>
  <c r="AT12" i="40" s="1"/>
  <c r="I11" i="7" a="1"/>
  <c r="J11" i="7" a="1"/>
  <c r="AU12" i="41" l="1" a="1"/>
  <c r="AU12" i="41" s="1"/>
  <c r="BC7" i="41" s="1"/>
  <c r="AT12" i="41" a="1"/>
  <c r="AT12" i="41" s="1"/>
  <c r="BB7" i="41" s="1"/>
  <c r="J11" i="7"/>
  <c r="I11" i="7"/>
  <c r="BC7" i="40"/>
  <c r="BB7" i="40"/>
  <c r="AS11" i="10"/>
  <c r="BB10" i="10" s="1"/>
  <c r="AT11" i="10"/>
  <c r="BC10" i="10" s="1"/>
  <c r="L11" i="7" a="1"/>
  <c r="M11" i="7" a="1"/>
  <c r="F14" i="7" a="1"/>
  <c r="N11" i="7" a="1"/>
  <c r="E14" i="7" a="1"/>
  <c r="K11" i="7" a="1"/>
  <c r="M11" i="7" l="1"/>
  <c r="N11" i="7"/>
  <c r="BB12" i="41"/>
  <c r="BC12" i="41"/>
  <c r="K11" i="7"/>
  <c r="E14" i="7"/>
  <c r="F14" i="7"/>
  <c r="L11" i="7"/>
  <c r="BB12" i="40"/>
  <c r="BC12" i="40"/>
  <c r="AT11" i="24"/>
  <c r="BB12" i="24" s="1"/>
  <c r="AU11" i="24" l="1"/>
  <c r="BC12" i="24" s="1"/>
  <c r="C5" i="9" l="1"/>
  <c r="C4" i="9" l="1"/>
  <c r="B18" i="24"/>
  <c r="R18" i="24" s="1"/>
  <c r="B17" i="40"/>
  <c r="S17" i="40" s="1"/>
  <c r="B18" i="40"/>
  <c r="T18" i="40" s="1"/>
  <c r="Q18" i="24"/>
  <c r="S18" i="24"/>
  <c r="B17" i="41"/>
  <c r="S17" i="41" s="1"/>
  <c r="B18" i="41"/>
  <c r="S18" i="41" s="1"/>
  <c r="B17" i="24" l="1"/>
  <c r="Z17" i="40"/>
  <c r="Z17" i="41"/>
  <c r="T18" i="24"/>
  <c r="Q17" i="40"/>
  <c r="X17" i="40" s="1"/>
  <c r="AG17" i="40" s="1"/>
  <c r="R17" i="40"/>
  <c r="Y17" i="40" s="1"/>
  <c r="AH17" i="40" s="1"/>
  <c r="T17" i="40"/>
  <c r="R18" i="40"/>
  <c r="S18" i="40"/>
  <c r="Q18" i="40"/>
  <c r="Q18" i="41"/>
  <c r="Q17" i="41"/>
  <c r="X17" i="41" s="1"/>
  <c r="AG17" i="41" s="1"/>
  <c r="R17" i="24" l="1"/>
  <c r="Y17" i="24" s="1"/>
  <c r="T17" i="24"/>
  <c r="AA17" i="24" s="1"/>
  <c r="AA18" i="24" s="1"/>
  <c r="AA19" i="24" s="1"/>
  <c r="AA20" i="24" s="1"/>
  <c r="AJ20" i="24" s="1"/>
  <c r="Q17" i="24"/>
  <c r="X17" i="24" s="1"/>
  <c r="S17" i="24"/>
  <c r="Z17" i="24" s="1"/>
  <c r="Z18" i="24" s="1"/>
  <c r="AI18" i="24" s="1"/>
  <c r="AI17" i="41"/>
  <c r="AI17" i="40"/>
  <c r="Z18" i="40"/>
  <c r="AI18" i="40" s="1"/>
  <c r="Z18" i="41"/>
  <c r="AI18" i="41" s="1"/>
  <c r="AA17" i="40"/>
  <c r="X18" i="40"/>
  <c r="Y18" i="40"/>
  <c r="AH18" i="40" s="1"/>
  <c r="X18" i="41"/>
  <c r="AG18" i="41" s="1"/>
  <c r="AJ17" i="24" l="1"/>
  <c r="AI17" i="24"/>
  <c r="AG17" i="24"/>
  <c r="X18" i="24"/>
  <c r="AH17" i="24"/>
  <c r="Y18" i="24"/>
  <c r="Z19" i="24"/>
  <c r="AI19" i="24" s="1"/>
  <c r="Z19" i="41"/>
  <c r="AI19" i="41" s="1"/>
  <c r="Z19" i="40"/>
  <c r="Z20" i="40" s="1"/>
  <c r="AI20" i="40" s="1"/>
  <c r="AJ17" i="40"/>
  <c r="AJ18" i="24"/>
  <c r="AA18" i="40"/>
  <c r="AJ18" i="40" s="1"/>
  <c r="X19" i="40"/>
  <c r="AG19" i="40" s="1"/>
  <c r="AG18" i="40"/>
  <c r="AJ19" i="24"/>
  <c r="Y19" i="40"/>
  <c r="AH19" i="40" s="1"/>
  <c r="X19" i="41"/>
  <c r="AA21" i="24"/>
  <c r="AJ21" i="24" s="1"/>
  <c r="Z20" i="24" l="1"/>
  <c r="AI20" i="24" s="1"/>
  <c r="AH18" i="24"/>
  <c r="Y19" i="24"/>
  <c r="AG18" i="24"/>
  <c r="X19" i="24"/>
  <c r="Z20" i="41"/>
  <c r="AI20" i="41" s="1"/>
  <c r="AA19" i="40"/>
  <c r="AJ19" i="40" s="1"/>
  <c r="AI19" i="40"/>
  <c r="X20" i="40"/>
  <c r="AG20" i="40" s="1"/>
  <c r="X20" i="41"/>
  <c r="AG20" i="41" s="1"/>
  <c r="AG19" i="41"/>
  <c r="Y20" i="40"/>
  <c r="AH20" i="40" s="1"/>
  <c r="Z21" i="40"/>
  <c r="Z21" i="24"/>
  <c r="AA22" i="24"/>
  <c r="AJ22" i="24" s="1"/>
  <c r="AG19" i="24" l="1"/>
  <c r="X20" i="24"/>
  <c r="Y20" i="24"/>
  <c r="AH19" i="24"/>
  <c r="Z21" i="41"/>
  <c r="AI21" i="41" s="1"/>
  <c r="AA20" i="40"/>
  <c r="AJ20" i="40" s="1"/>
  <c r="X21" i="40"/>
  <c r="AG21" i="40" s="1"/>
  <c r="Y21" i="40"/>
  <c r="AH21" i="40" s="1"/>
  <c r="X21" i="41"/>
  <c r="AG21" i="41" s="1"/>
  <c r="AI21" i="40"/>
  <c r="AI21" i="24"/>
  <c r="Z22" i="40"/>
  <c r="AA23" i="24"/>
  <c r="AJ23" i="24" s="1"/>
  <c r="Z22" i="24"/>
  <c r="AI22" i="24" s="1"/>
  <c r="Z22" i="41" l="1"/>
  <c r="AI22" i="41" s="1"/>
  <c r="AH20" i="24"/>
  <c r="Y21" i="24"/>
  <c r="AG20" i="24"/>
  <c r="X21" i="24"/>
  <c r="AA21" i="40"/>
  <c r="AA22" i="40" s="1"/>
  <c r="AJ22" i="40" s="1"/>
  <c r="AI22" i="40"/>
  <c r="X22" i="40"/>
  <c r="AG22" i="40" s="1"/>
  <c r="X22" i="41"/>
  <c r="AG22" i="41" s="1"/>
  <c r="Y22" i="40"/>
  <c r="AH22" i="40" s="1"/>
  <c r="AA24" i="24"/>
  <c r="AJ24" i="24" s="1"/>
  <c r="Z23" i="40"/>
  <c r="AI23" i="40" s="1"/>
  <c r="Z23" i="41"/>
  <c r="AI23" i="41" s="1"/>
  <c r="Z23" i="24"/>
  <c r="AI23" i="24" s="1"/>
  <c r="AG21" i="24" l="1"/>
  <c r="X22" i="24"/>
  <c r="AH21" i="24"/>
  <c r="Y22" i="24"/>
  <c r="AA23" i="40"/>
  <c r="AJ23" i="40" s="1"/>
  <c r="AJ21" i="40"/>
  <c r="Y23" i="40"/>
  <c r="AH23" i="40" s="1"/>
  <c r="X23" i="40"/>
  <c r="AG23" i="40" s="1"/>
  <c r="X23" i="41"/>
  <c r="AG23" i="41" s="1"/>
  <c r="Z24" i="40"/>
  <c r="AI24" i="40" s="1"/>
  <c r="Z24" i="24"/>
  <c r="AI24" i="24" s="1"/>
  <c r="Z24" i="41"/>
  <c r="AI24" i="41" s="1"/>
  <c r="AA25" i="24"/>
  <c r="AJ25" i="24" s="1"/>
  <c r="R17" i="41"/>
  <c r="Y17" i="41" s="1"/>
  <c r="AH17" i="41" s="1"/>
  <c r="R18" i="41"/>
  <c r="T17" i="41"/>
  <c r="T18" i="41"/>
  <c r="AH22" i="24" l="1"/>
  <c r="Y23" i="24"/>
  <c r="AA24" i="40"/>
  <c r="AJ24" i="40" s="1"/>
  <c r="AG22" i="24"/>
  <c r="X23" i="24"/>
  <c r="Y24" i="40"/>
  <c r="AH24" i="40" s="1"/>
  <c r="X24" i="41"/>
  <c r="AG24" i="41" s="1"/>
  <c r="X24" i="40"/>
  <c r="AG24" i="40" s="1"/>
  <c r="AA17" i="41"/>
  <c r="Z25" i="40"/>
  <c r="AI25" i="40" s="1"/>
  <c r="AA26" i="24"/>
  <c r="AJ26" i="24" s="1"/>
  <c r="Z25" i="41"/>
  <c r="AI25" i="41" s="1"/>
  <c r="Y18" i="41"/>
  <c r="AH18" i="41" s="1"/>
  <c r="Z25" i="24"/>
  <c r="AI25" i="24" s="1"/>
  <c r="AG23" i="24" l="1"/>
  <c r="X24" i="24"/>
  <c r="AA25" i="40"/>
  <c r="AJ25" i="40" s="1"/>
  <c r="AH23" i="24"/>
  <c r="Y24" i="24"/>
  <c r="X25" i="40"/>
  <c r="AG25" i="40" s="1"/>
  <c r="X25" i="41"/>
  <c r="AG25" i="41" s="1"/>
  <c r="Y25" i="40"/>
  <c r="AH25" i="40" s="1"/>
  <c r="AA18" i="41"/>
  <c r="AJ18" i="41" s="1"/>
  <c r="AJ17" i="41"/>
  <c r="Z26" i="40"/>
  <c r="AI26" i="40" s="1"/>
  <c r="AA27" i="24"/>
  <c r="AJ27" i="24" s="1"/>
  <c r="Z26" i="24"/>
  <c r="AI26" i="24" s="1"/>
  <c r="Z26" i="41"/>
  <c r="AI26" i="41" s="1"/>
  <c r="Y19" i="41"/>
  <c r="AH19" i="41" s="1"/>
  <c r="X26" i="40" l="1"/>
  <c r="AG26" i="40" s="1"/>
  <c r="AA26" i="40"/>
  <c r="AJ26" i="40" s="1"/>
  <c r="X26" i="41"/>
  <c r="AG26" i="41" s="1"/>
  <c r="AG24" i="24"/>
  <c r="X25" i="24"/>
  <c r="AH24" i="24"/>
  <c r="Y25" i="24"/>
  <c r="Y26" i="40"/>
  <c r="AH26" i="40" s="1"/>
  <c r="AA19" i="41"/>
  <c r="AJ19" i="41" s="1"/>
  <c r="Z27" i="24"/>
  <c r="AI27" i="24" s="1"/>
  <c r="Y20" i="41"/>
  <c r="AH20" i="41" s="1"/>
  <c r="AA28" i="24"/>
  <c r="AJ28" i="24" s="1"/>
  <c r="Z27" i="41"/>
  <c r="AI27" i="41" s="1"/>
  <c r="Z27" i="40"/>
  <c r="AI27" i="40" s="1"/>
  <c r="X27" i="40" l="1"/>
  <c r="AG27" i="40" s="1"/>
  <c r="Y27" i="40"/>
  <c r="AH27" i="40" s="1"/>
  <c r="AA27" i="40"/>
  <c r="AJ27" i="40" s="1"/>
  <c r="AG25" i="24"/>
  <c r="X26" i="24"/>
  <c r="AH25" i="24"/>
  <c r="Y26" i="24"/>
  <c r="X27" i="41"/>
  <c r="AG27" i="41" s="1"/>
  <c r="AA20" i="41"/>
  <c r="AJ20" i="41" s="1"/>
  <c r="Z28" i="41"/>
  <c r="AI28" i="41" s="1"/>
  <c r="AA29" i="24"/>
  <c r="AJ29" i="24" s="1"/>
  <c r="Z28" i="40"/>
  <c r="AI28" i="40" s="1"/>
  <c r="AA28" i="40"/>
  <c r="AJ28" i="40" s="1"/>
  <c r="Y21" i="41"/>
  <c r="AH21" i="41" s="1"/>
  <c r="X28" i="40"/>
  <c r="AG28" i="40" s="1"/>
  <c r="Z28" i="24"/>
  <c r="AI28" i="24" s="1"/>
  <c r="B17" i="10"/>
  <c r="S17" i="10" s="1"/>
  <c r="B18" i="10"/>
  <c r="Q18" i="10" s="1"/>
  <c r="B17" i="20"/>
  <c r="S17" i="20" s="1"/>
  <c r="B18" i="20"/>
  <c r="S18" i="20" s="1"/>
  <c r="Y28" i="40" l="1"/>
  <c r="AH28" i="40" s="1"/>
  <c r="AA21" i="41"/>
  <c r="AJ21" i="41" s="1"/>
  <c r="AH26" i="24"/>
  <c r="Y27" i="24"/>
  <c r="AG26" i="24"/>
  <c r="X27" i="24"/>
  <c r="X28" i="41"/>
  <c r="AG28" i="41" s="1"/>
  <c r="AB17" i="20"/>
  <c r="AK17" i="20" s="1"/>
  <c r="AB17" i="10"/>
  <c r="AK17" i="10" s="1"/>
  <c r="T18" i="10"/>
  <c r="R18" i="10"/>
  <c r="S18" i="10"/>
  <c r="T17" i="10"/>
  <c r="R17" i="10"/>
  <c r="AA17" i="10" s="1"/>
  <c r="AJ17" i="10" s="1"/>
  <c r="Q17" i="10"/>
  <c r="Z17" i="10" s="1"/>
  <c r="AI17" i="10" s="1"/>
  <c r="Y22" i="41"/>
  <c r="AH22" i="41" s="1"/>
  <c r="Z29" i="24"/>
  <c r="AI29" i="24" s="1"/>
  <c r="AA29" i="40"/>
  <c r="AJ29" i="40" s="1"/>
  <c r="Z29" i="40"/>
  <c r="AI29" i="40" s="1"/>
  <c r="X29" i="40"/>
  <c r="AG29" i="40" s="1"/>
  <c r="Y29" i="40"/>
  <c r="AH29" i="40" s="1"/>
  <c r="AA30" i="24"/>
  <c r="AJ30" i="24" s="1"/>
  <c r="Z29" i="41"/>
  <c r="AI29" i="41" s="1"/>
  <c r="AA22" i="41" l="1"/>
  <c r="AJ22" i="41" s="1"/>
  <c r="X29" i="41"/>
  <c r="AG29" i="41" s="1"/>
  <c r="AG27" i="24"/>
  <c r="X28" i="24"/>
  <c r="AH27" i="24"/>
  <c r="Y28" i="24"/>
  <c r="AB18" i="20"/>
  <c r="AB19" i="20" s="1"/>
  <c r="AB18" i="10"/>
  <c r="AK18" i="10" s="1"/>
  <c r="AC17" i="10"/>
  <c r="AL17" i="10" s="1"/>
  <c r="Z18" i="10"/>
  <c r="AA18" i="10"/>
  <c r="Y23" i="41"/>
  <c r="AH23" i="41" s="1"/>
  <c r="AA23" i="41"/>
  <c r="AJ23" i="41" s="1"/>
  <c r="Z30" i="41"/>
  <c r="AI30" i="41" s="1"/>
  <c r="X30" i="40"/>
  <c r="AG30" i="40" s="1"/>
  <c r="Y30" i="40"/>
  <c r="AH30" i="40" s="1"/>
  <c r="Z30" i="40"/>
  <c r="AI30" i="40" s="1"/>
  <c r="AA31" i="24"/>
  <c r="AJ31" i="24" s="1"/>
  <c r="AA30" i="40"/>
  <c r="AJ30" i="40" s="1"/>
  <c r="X30" i="41"/>
  <c r="AG30" i="41" s="1"/>
  <c r="Z30" i="24"/>
  <c r="AI30" i="24" s="1"/>
  <c r="AH28" i="24" l="1"/>
  <c r="Y29" i="24"/>
  <c r="AG28" i="24"/>
  <c r="X29" i="24"/>
  <c r="AK18" i="20"/>
  <c r="AB19" i="10"/>
  <c r="AK19" i="10" s="1"/>
  <c r="AB20" i="20"/>
  <c r="AK19" i="20"/>
  <c r="AA19" i="10"/>
  <c r="AJ19" i="10" s="1"/>
  <c r="AJ18" i="10"/>
  <c r="Z19" i="10"/>
  <c r="AI19" i="10" s="1"/>
  <c r="AI18" i="10"/>
  <c r="AC18" i="10"/>
  <c r="AL18" i="10" s="1"/>
  <c r="X31" i="40"/>
  <c r="AG31" i="40" s="1"/>
  <c r="Z31" i="41"/>
  <c r="AI31" i="41" s="1"/>
  <c r="AA31" i="40"/>
  <c r="AJ31" i="40" s="1"/>
  <c r="Z31" i="40"/>
  <c r="AI31" i="40" s="1"/>
  <c r="AA32" i="24"/>
  <c r="AJ32" i="24" s="1"/>
  <c r="AA24" i="41"/>
  <c r="AJ24" i="41" s="1"/>
  <c r="Z31" i="24"/>
  <c r="AI31" i="24" s="1"/>
  <c r="Y24" i="41"/>
  <c r="AH24" i="41" s="1"/>
  <c r="Y31" i="40"/>
  <c r="AH31" i="40" s="1"/>
  <c r="X31" i="41"/>
  <c r="AG31" i="41" s="1"/>
  <c r="R17" i="20"/>
  <c r="AA17" i="20" s="1"/>
  <c r="AJ17" i="20" s="1"/>
  <c r="R18" i="20"/>
  <c r="T17" i="20"/>
  <c r="T18" i="20"/>
  <c r="AG29" i="24" l="1"/>
  <c r="X30" i="24"/>
  <c r="AH29" i="24"/>
  <c r="Y30" i="24"/>
  <c r="AB20" i="10"/>
  <c r="AK20" i="10" s="1"/>
  <c r="AC17" i="20"/>
  <c r="AL17" i="20" s="1"/>
  <c r="AA20" i="10"/>
  <c r="AJ20" i="10" s="1"/>
  <c r="Z20" i="10"/>
  <c r="AI20" i="10" s="1"/>
  <c r="AB21" i="20"/>
  <c r="AK20" i="20"/>
  <c r="AC19" i="10"/>
  <c r="AL19" i="10" s="1"/>
  <c r="AA25" i="41"/>
  <c r="AJ25" i="41" s="1"/>
  <c r="AA32" i="40"/>
  <c r="AJ32" i="40" s="1"/>
  <c r="Y25" i="41"/>
  <c r="AH25" i="41" s="1"/>
  <c r="Z32" i="41"/>
  <c r="AI32" i="41" s="1"/>
  <c r="Z32" i="24"/>
  <c r="AI32" i="24" s="1"/>
  <c r="AA18" i="20"/>
  <c r="AJ18" i="20" s="1"/>
  <c r="X32" i="40"/>
  <c r="AG32" i="40" s="1"/>
  <c r="AA33" i="24"/>
  <c r="AJ33" i="24" s="1"/>
  <c r="X32" i="41"/>
  <c r="AG32" i="41" s="1"/>
  <c r="Z32" i="40"/>
  <c r="AI32" i="40" s="1"/>
  <c r="Y32" i="40"/>
  <c r="AH32" i="40" s="1"/>
  <c r="Q17" i="20"/>
  <c r="Z17" i="20" s="1"/>
  <c r="AI17" i="20" s="1"/>
  <c r="Q18" i="20"/>
  <c r="AB21" i="10" l="1"/>
  <c r="AK21" i="10" s="1"/>
  <c r="AC18" i="20"/>
  <c r="AL18" i="20" s="1"/>
  <c r="AH30" i="24"/>
  <c r="Y31" i="24"/>
  <c r="AG30" i="24"/>
  <c r="X31" i="24"/>
  <c r="AA21" i="10"/>
  <c r="AJ21" i="10" s="1"/>
  <c r="Z21" i="10"/>
  <c r="AI21" i="10" s="1"/>
  <c r="AB22" i="20"/>
  <c r="AK21" i="20"/>
  <c r="AC20" i="10"/>
  <c r="AL20" i="10" s="1"/>
  <c r="Z18" i="20"/>
  <c r="AI18" i="20" s="1"/>
  <c r="Y26" i="41"/>
  <c r="AH26" i="41" s="1"/>
  <c r="AA34" i="24"/>
  <c r="AJ34" i="24" s="1"/>
  <c r="Z33" i="24"/>
  <c r="AI33" i="24" s="1"/>
  <c r="AA33" i="40"/>
  <c r="AJ33" i="40" s="1"/>
  <c r="Y33" i="40"/>
  <c r="AH33" i="40" s="1"/>
  <c r="Z33" i="40"/>
  <c r="AI33" i="40" s="1"/>
  <c r="AB22" i="10"/>
  <c r="AK22" i="10" s="1"/>
  <c r="AA26" i="41"/>
  <c r="AJ26" i="41" s="1"/>
  <c r="X33" i="40"/>
  <c r="AG33" i="40" s="1"/>
  <c r="Z33" i="41"/>
  <c r="AI33" i="41" s="1"/>
  <c r="X33" i="41"/>
  <c r="AG33" i="41" s="1"/>
  <c r="AA19" i="20"/>
  <c r="AJ19" i="20" s="1"/>
  <c r="AC19" i="20" l="1"/>
  <c r="AL19" i="20" s="1"/>
  <c r="AG31" i="24"/>
  <c r="X32" i="24"/>
  <c r="AH31" i="24"/>
  <c r="Y32" i="24"/>
  <c r="AA22" i="10"/>
  <c r="AJ22" i="10" s="1"/>
  <c r="Z22" i="10"/>
  <c r="AI22" i="10" s="1"/>
  <c r="AB23" i="20"/>
  <c r="AK22" i="20"/>
  <c r="AC21" i="10"/>
  <c r="AL21" i="10" s="1"/>
  <c r="Z19" i="20"/>
  <c r="AI19" i="20" s="1"/>
  <c r="AA34" i="40"/>
  <c r="AJ34" i="40" s="1"/>
  <c r="X34" i="40"/>
  <c r="AG34" i="40" s="1"/>
  <c r="Z34" i="24"/>
  <c r="AI34" i="24" s="1"/>
  <c r="AA35" i="24"/>
  <c r="AJ35" i="24" s="1"/>
  <c r="Y34" i="40"/>
  <c r="AH34" i="40" s="1"/>
  <c r="Y27" i="41"/>
  <c r="AH27" i="41" s="1"/>
  <c r="AA27" i="41"/>
  <c r="AJ27" i="41" s="1"/>
  <c r="AB23" i="10"/>
  <c r="AK23" i="10" s="1"/>
  <c r="AA20" i="20"/>
  <c r="AJ20" i="20" s="1"/>
  <c r="X34" i="41"/>
  <c r="AG34" i="41" s="1"/>
  <c r="Z34" i="41"/>
  <c r="AI34" i="41" s="1"/>
  <c r="Z34" i="40"/>
  <c r="AI34" i="40" s="1"/>
  <c r="AC20" i="20" l="1"/>
  <c r="AL20" i="20" s="1"/>
  <c r="AH32" i="24"/>
  <c r="Y33" i="24"/>
  <c r="AG32" i="24"/>
  <c r="X33" i="24"/>
  <c r="Z23" i="10"/>
  <c r="AI23" i="10" s="1"/>
  <c r="AA23" i="10"/>
  <c r="AB24" i="20"/>
  <c r="AK23" i="20"/>
  <c r="Z20" i="20"/>
  <c r="AI20" i="20" s="1"/>
  <c r="AC22" i="10"/>
  <c r="AL22" i="10" s="1"/>
  <c r="Z35" i="41"/>
  <c r="AI35" i="41" s="1"/>
  <c r="Y28" i="41"/>
  <c r="AH28" i="41" s="1"/>
  <c r="Z35" i="24"/>
  <c r="AI35" i="24" s="1"/>
  <c r="Z35" i="40"/>
  <c r="AI35" i="40" s="1"/>
  <c r="AA21" i="20"/>
  <c r="AJ21" i="20" s="1"/>
  <c r="X35" i="40"/>
  <c r="AG35" i="40" s="1"/>
  <c r="AC21" i="20"/>
  <c r="AL21" i="20" s="1"/>
  <c r="AB24" i="10"/>
  <c r="AK24" i="10" s="1"/>
  <c r="Y35" i="40"/>
  <c r="AH35" i="40" s="1"/>
  <c r="AA35" i="40"/>
  <c r="AJ35" i="40" s="1"/>
  <c r="AA36" i="24"/>
  <c r="AJ36" i="24" s="1"/>
  <c r="AA28" i="41"/>
  <c r="AJ28" i="41" s="1"/>
  <c r="X35" i="41"/>
  <c r="AG35" i="41" s="1"/>
  <c r="AG33" i="24" l="1"/>
  <c r="X34" i="24"/>
  <c r="AH33" i="24"/>
  <c r="Y34" i="24"/>
  <c r="Z24" i="10"/>
  <c r="AI24" i="10" s="1"/>
  <c r="AJ23" i="10"/>
  <c r="AA24" i="10"/>
  <c r="Z21" i="20"/>
  <c r="AI21" i="20" s="1"/>
  <c r="AB25" i="20"/>
  <c r="AK24" i="20"/>
  <c r="AC23" i="10"/>
  <c r="AL23" i="10" s="1"/>
  <c r="AA37" i="24"/>
  <c r="AJ37" i="24" s="1"/>
  <c r="Z36" i="40"/>
  <c r="AI36" i="40" s="1"/>
  <c r="X36" i="40"/>
  <c r="AG36" i="40" s="1"/>
  <c r="AA36" i="40"/>
  <c r="AJ36" i="40" s="1"/>
  <c r="Z36" i="24"/>
  <c r="AI36" i="24" s="1"/>
  <c r="Y36" i="40"/>
  <c r="AH36" i="40" s="1"/>
  <c r="Y29" i="41"/>
  <c r="AH29" i="41" s="1"/>
  <c r="AB25" i="10"/>
  <c r="AK25" i="10" s="1"/>
  <c r="X36" i="41"/>
  <c r="AG36" i="41" s="1"/>
  <c r="AC22" i="20"/>
  <c r="AL22" i="20" s="1"/>
  <c r="Z36" i="41"/>
  <c r="AI36" i="41" s="1"/>
  <c r="AA29" i="41"/>
  <c r="AJ29" i="41" s="1"/>
  <c r="AA22" i="20"/>
  <c r="AJ22" i="20" s="1"/>
  <c r="C3" i="9"/>
  <c r="D5" i="9"/>
  <c r="D4" i="9"/>
  <c r="Z25" i="10" l="1"/>
  <c r="AI25" i="10" s="1"/>
  <c r="Z22" i="20"/>
  <c r="AI22" i="20" s="1"/>
  <c r="B16" i="40"/>
  <c r="S16" i="40" s="1"/>
  <c r="AH34" i="24"/>
  <c r="Y35" i="24"/>
  <c r="AG34" i="24"/>
  <c r="X35" i="24"/>
  <c r="AJ24" i="10"/>
  <c r="AA25" i="10"/>
  <c r="AB26" i="20"/>
  <c r="AK25" i="20"/>
  <c r="AC24" i="10"/>
  <c r="AL24" i="10" s="1"/>
  <c r="B16" i="41"/>
  <c r="Q16" i="41" s="1"/>
  <c r="B16" i="10"/>
  <c r="R16" i="10" s="1"/>
  <c r="B16" i="24"/>
  <c r="Q16" i="24" s="1"/>
  <c r="D3" i="9"/>
  <c r="B16" i="20"/>
  <c r="S16" i="20" s="1"/>
  <c r="AA37" i="40"/>
  <c r="AJ37" i="40" s="1"/>
  <c r="AB26" i="10"/>
  <c r="AK26" i="10" s="1"/>
  <c r="AA23" i="20"/>
  <c r="AJ23" i="20" s="1"/>
  <c r="Y30" i="41"/>
  <c r="AH30" i="41" s="1"/>
  <c r="AA30" i="41"/>
  <c r="AJ30" i="41" s="1"/>
  <c r="Z37" i="41"/>
  <c r="AI37" i="41" s="1"/>
  <c r="X37" i="40"/>
  <c r="AG37" i="40" s="1"/>
  <c r="Z37" i="40"/>
  <c r="AI37" i="40" s="1"/>
  <c r="Y37" i="40"/>
  <c r="AH37" i="40" s="1"/>
  <c r="Z37" i="24"/>
  <c r="AI37" i="24" s="1"/>
  <c r="AA38" i="24"/>
  <c r="AJ38" i="24" s="1"/>
  <c r="AC23" i="20"/>
  <c r="AL23" i="20" s="1"/>
  <c r="Z26" i="10"/>
  <c r="AI26" i="10" s="1"/>
  <c r="X37" i="41"/>
  <c r="AG37" i="41" s="1"/>
  <c r="R16" i="40" l="1"/>
  <c r="Q16" i="40"/>
  <c r="T16" i="40"/>
  <c r="Q16" i="10"/>
  <c r="Z23" i="20"/>
  <c r="AI23" i="20" s="1"/>
  <c r="AH35" i="24"/>
  <c r="Y36" i="24"/>
  <c r="AG35" i="24"/>
  <c r="X36" i="24"/>
  <c r="S16" i="10"/>
  <c r="AJ25" i="10"/>
  <c r="AA26" i="10"/>
  <c r="T16" i="10"/>
  <c r="R16" i="41"/>
  <c r="T16" i="41"/>
  <c r="S16" i="41"/>
  <c r="S16" i="24"/>
  <c r="T16" i="24"/>
  <c r="AB27" i="20"/>
  <c r="AK26" i="20"/>
  <c r="AC25" i="10"/>
  <c r="AL25" i="10" s="1"/>
  <c r="R16" i="20"/>
  <c r="R16" i="24"/>
  <c r="Q16" i="20"/>
  <c r="T16" i="20"/>
  <c r="AB27" i="10"/>
  <c r="AK27" i="10" s="1"/>
  <c r="Y38" i="40"/>
  <c r="AH38" i="40" s="1"/>
  <c r="AA31" i="41"/>
  <c r="AJ31" i="41" s="1"/>
  <c r="AA38" i="40"/>
  <c r="AJ38" i="40" s="1"/>
  <c r="Z38" i="40"/>
  <c r="AI38" i="40" s="1"/>
  <c r="AC24" i="20"/>
  <c r="AL24" i="20" s="1"/>
  <c r="Y31" i="41"/>
  <c r="AH31" i="41" s="1"/>
  <c r="X38" i="40"/>
  <c r="AG38" i="40" s="1"/>
  <c r="AA24" i="20"/>
  <c r="AJ24" i="20" s="1"/>
  <c r="AA39" i="24"/>
  <c r="AJ39" i="24" s="1"/>
  <c r="Z38" i="24"/>
  <c r="AI38" i="24" s="1"/>
  <c r="X38" i="41"/>
  <c r="AG38" i="41" s="1"/>
  <c r="Z27" i="10"/>
  <c r="AI27" i="10" s="1"/>
  <c r="Z38" i="41"/>
  <c r="AI38" i="41" s="1"/>
  <c r="Z24" i="20" l="1"/>
  <c r="AI24" i="20" s="1"/>
  <c r="AG36" i="24"/>
  <c r="X37" i="24"/>
  <c r="AH36" i="24"/>
  <c r="Y37" i="24"/>
  <c r="AJ26" i="10"/>
  <c r="AA27" i="10"/>
  <c r="AB28" i="20"/>
  <c r="AK27" i="20"/>
  <c r="AC26" i="10"/>
  <c r="AL26" i="10" s="1"/>
  <c r="Z39" i="41"/>
  <c r="AI39" i="41" s="1"/>
  <c r="Z28" i="10"/>
  <c r="AI28" i="10" s="1"/>
  <c r="Z39" i="24"/>
  <c r="AI39" i="24" s="1"/>
  <c r="Y32" i="41"/>
  <c r="AH32" i="41" s="1"/>
  <c r="Z39" i="40"/>
  <c r="AI39" i="40" s="1"/>
  <c r="Y39" i="40"/>
  <c r="AH39" i="40" s="1"/>
  <c r="AA40" i="24"/>
  <c r="AJ40" i="24" s="1"/>
  <c r="AA39" i="40"/>
  <c r="AJ39" i="40" s="1"/>
  <c r="AB28" i="10"/>
  <c r="AK28" i="10" s="1"/>
  <c r="AA32" i="41"/>
  <c r="AJ32" i="41" s="1"/>
  <c r="AA25" i="20"/>
  <c r="AJ25" i="20" s="1"/>
  <c r="X39" i="41"/>
  <c r="AG39" i="41" s="1"/>
  <c r="AC25" i="20"/>
  <c r="AL25" i="20" s="1"/>
  <c r="X39" i="40"/>
  <c r="AG39" i="40" s="1"/>
  <c r="Z25" i="20" l="1"/>
  <c r="AI25" i="20" s="1"/>
  <c r="AH37" i="24"/>
  <c r="Y38" i="24"/>
  <c r="AG37" i="24"/>
  <c r="X38" i="24"/>
  <c r="AJ27" i="10"/>
  <c r="AA28" i="10"/>
  <c r="AB29" i="20"/>
  <c r="AK28" i="20"/>
  <c r="AC27" i="10"/>
  <c r="AL27" i="10" s="1"/>
  <c r="AC26" i="20"/>
  <c r="AL26" i="20" s="1"/>
  <c r="Z40" i="24"/>
  <c r="AI40" i="24" s="1"/>
  <c r="Z40" i="41"/>
  <c r="AI40" i="41" s="1"/>
  <c r="X40" i="41"/>
  <c r="AG40" i="41" s="1"/>
  <c r="Z29" i="10"/>
  <c r="AI29" i="10" s="1"/>
  <c r="AA40" i="40"/>
  <c r="AJ40" i="40" s="1"/>
  <c r="AA26" i="20"/>
  <c r="AJ26" i="20" s="1"/>
  <c r="AA33" i="41"/>
  <c r="AJ33" i="41" s="1"/>
  <c r="Y40" i="40"/>
  <c r="AH40" i="40" s="1"/>
  <c r="Z40" i="40"/>
  <c r="AI40" i="40" s="1"/>
  <c r="X40" i="40"/>
  <c r="AG40" i="40" s="1"/>
  <c r="AB29" i="10"/>
  <c r="AK29" i="10" s="1"/>
  <c r="AA41" i="24"/>
  <c r="AJ41" i="24" s="1"/>
  <c r="Y33" i="41"/>
  <c r="AH33" i="41" s="1"/>
  <c r="Z26" i="20" l="1"/>
  <c r="AI26" i="20" s="1"/>
  <c r="AG38" i="24"/>
  <c r="X39" i="24"/>
  <c r="AH38" i="24"/>
  <c r="Y39" i="24"/>
  <c r="AJ28" i="10"/>
  <c r="AA29" i="10"/>
  <c r="AB30" i="20"/>
  <c r="AK29" i="20"/>
  <c r="AC28" i="10"/>
  <c r="AL28" i="10" s="1"/>
  <c r="Z41" i="41"/>
  <c r="AI41" i="41" s="1"/>
  <c r="X41" i="40"/>
  <c r="AG41" i="40" s="1"/>
  <c r="Z41" i="24"/>
  <c r="AI41" i="24" s="1"/>
  <c r="Z41" i="40"/>
  <c r="AI41" i="40" s="1"/>
  <c r="Y34" i="41"/>
  <c r="AH34" i="41" s="1"/>
  <c r="AC27" i="20"/>
  <c r="AL27" i="20" s="1"/>
  <c r="AA41" i="40"/>
  <c r="AJ41" i="40" s="1"/>
  <c r="Y41" i="40"/>
  <c r="AH41" i="40" s="1"/>
  <c r="Z30" i="10"/>
  <c r="AI30" i="10" s="1"/>
  <c r="AA42" i="24"/>
  <c r="AJ42" i="24" s="1"/>
  <c r="X41" i="41"/>
  <c r="AG41" i="41" s="1"/>
  <c r="AA34" i="41"/>
  <c r="AJ34" i="41" s="1"/>
  <c r="AA27" i="20"/>
  <c r="AJ27" i="20" s="1"/>
  <c r="Z27" i="20"/>
  <c r="AI27" i="20" s="1"/>
  <c r="AB30" i="10"/>
  <c r="AK30" i="10" s="1"/>
  <c r="AH39" i="24" l="1"/>
  <c r="Y40" i="24"/>
  <c r="AG39" i="24"/>
  <c r="X40" i="24"/>
  <c r="AJ29" i="10"/>
  <c r="AA30" i="10"/>
  <c r="AB31" i="20"/>
  <c r="AK30" i="20"/>
  <c r="AC29" i="10"/>
  <c r="AL29" i="10" s="1"/>
  <c r="X42" i="41"/>
  <c r="AG42" i="41" s="1"/>
  <c r="AB31" i="10"/>
  <c r="AK31" i="10" s="1"/>
  <c r="AA43" i="24"/>
  <c r="AJ43" i="24" s="1"/>
  <c r="Z42" i="24"/>
  <c r="AI42" i="24" s="1"/>
  <c r="Z28" i="20"/>
  <c r="AI28" i="20" s="1"/>
  <c r="AC28" i="20"/>
  <c r="AL28" i="20" s="1"/>
  <c r="Z31" i="10"/>
  <c r="AI31" i="10" s="1"/>
  <c r="X42" i="40"/>
  <c r="AG42" i="40" s="1"/>
  <c r="AA28" i="20"/>
  <c r="AJ28" i="20" s="1"/>
  <c r="Y42" i="40"/>
  <c r="AH42" i="40" s="1"/>
  <c r="Y35" i="41"/>
  <c r="AH35" i="41" s="1"/>
  <c r="Z42" i="41"/>
  <c r="AI42" i="41" s="1"/>
  <c r="Z42" i="40"/>
  <c r="AI42" i="40" s="1"/>
  <c r="AA35" i="41"/>
  <c r="AJ35" i="41" s="1"/>
  <c r="AA42" i="40"/>
  <c r="AJ42" i="40" s="1"/>
  <c r="AG40" i="24" l="1"/>
  <c r="X41" i="24"/>
  <c r="AH40" i="24"/>
  <c r="Y41" i="24"/>
  <c r="AJ30" i="10"/>
  <c r="AA31" i="10"/>
  <c r="AB32" i="20"/>
  <c r="AK31" i="20"/>
  <c r="AC30" i="10"/>
  <c r="AL30" i="10" s="1"/>
  <c r="Z29" i="20"/>
  <c r="AI29" i="20" s="1"/>
  <c r="Z43" i="24"/>
  <c r="AI43" i="24" s="1"/>
  <c r="Y43" i="40"/>
  <c r="AH43" i="40" s="1"/>
  <c r="AC29" i="20"/>
  <c r="AL29" i="20" s="1"/>
  <c r="AA44" i="24"/>
  <c r="AJ44" i="24" s="1"/>
  <c r="AA29" i="20"/>
  <c r="AJ29" i="20" s="1"/>
  <c r="X43" i="40"/>
  <c r="AG43" i="40" s="1"/>
  <c r="Z43" i="41"/>
  <c r="AI43" i="41" s="1"/>
  <c r="Z43" i="40"/>
  <c r="AI43" i="40" s="1"/>
  <c r="AB32" i="10"/>
  <c r="AK32" i="10" s="1"/>
  <c r="Z32" i="10"/>
  <c r="AI32" i="10" s="1"/>
  <c r="AA43" i="40"/>
  <c r="AJ43" i="40" s="1"/>
  <c r="AA36" i="41"/>
  <c r="AJ36" i="41" s="1"/>
  <c r="X43" i="41"/>
  <c r="AG43" i="41" s="1"/>
  <c r="Y36" i="41"/>
  <c r="AH36" i="41" s="1"/>
  <c r="AH41" i="24" l="1"/>
  <c r="Y42" i="24"/>
  <c r="AG41" i="24"/>
  <c r="X42" i="24"/>
  <c r="AJ31" i="10"/>
  <c r="AA32" i="10"/>
  <c r="AB33" i="20"/>
  <c r="AK32" i="20"/>
  <c r="AC31" i="10"/>
  <c r="AL31" i="10" s="1"/>
  <c r="AA44" i="40"/>
  <c r="AJ44" i="40" s="1"/>
  <c r="X44" i="41"/>
  <c r="AG44" i="41" s="1"/>
  <c r="AA45" i="24"/>
  <c r="AJ45" i="24" s="1"/>
  <c r="Z33" i="10"/>
  <c r="AI33" i="10" s="1"/>
  <c r="Z44" i="41"/>
  <c r="AI44" i="41" s="1"/>
  <c r="X44" i="40"/>
  <c r="AG44" i="40" s="1"/>
  <c r="AC30" i="20"/>
  <c r="AL30" i="20" s="1"/>
  <c r="AA37" i="41"/>
  <c r="AJ37" i="41" s="1"/>
  <c r="AB33" i="10"/>
  <c r="AK33" i="10" s="1"/>
  <c r="Y44" i="40"/>
  <c r="AH44" i="40" s="1"/>
  <c r="Z44" i="24"/>
  <c r="AI44" i="24" s="1"/>
  <c r="Z30" i="20"/>
  <c r="AI30" i="20" s="1"/>
  <c r="Z44" i="40"/>
  <c r="AI44" i="40" s="1"/>
  <c r="AA30" i="20"/>
  <c r="AJ30" i="20" s="1"/>
  <c r="Y37" i="41"/>
  <c r="AH37" i="41" s="1"/>
  <c r="AG42" i="24" l="1"/>
  <c r="X43" i="24"/>
  <c r="AH42" i="24"/>
  <c r="Y43" i="24"/>
  <c r="AJ32" i="10"/>
  <c r="AA33" i="10"/>
  <c r="AB34" i="20"/>
  <c r="AK33" i="20"/>
  <c r="AC32" i="10"/>
  <c r="AL32" i="10" s="1"/>
  <c r="Y38" i="41"/>
  <c r="AH38" i="41" s="1"/>
  <c r="Z45" i="24"/>
  <c r="AI45" i="24" s="1"/>
  <c r="X45" i="40"/>
  <c r="AG45" i="40" s="1"/>
  <c r="Z45" i="41"/>
  <c r="AI45" i="41" s="1"/>
  <c r="Y45" i="40"/>
  <c r="AH45" i="40" s="1"/>
  <c r="AA31" i="20"/>
  <c r="AJ31" i="20" s="1"/>
  <c r="Z34" i="10"/>
  <c r="AI34" i="10" s="1"/>
  <c r="AA46" i="24"/>
  <c r="AJ46" i="24" s="1"/>
  <c r="Z31" i="20"/>
  <c r="AI31" i="20" s="1"/>
  <c r="AA38" i="41"/>
  <c r="AJ38" i="41" s="1"/>
  <c r="X45" i="41"/>
  <c r="AG45" i="41" s="1"/>
  <c r="Z45" i="40"/>
  <c r="AI45" i="40" s="1"/>
  <c r="AC31" i="20"/>
  <c r="AL31" i="20" s="1"/>
  <c r="AA45" i="40"/>
  <c r="AJ45" i="40" s="1"/>
  <c r="AB34" i="10"/>
  <c r="AK34" i="10" s="1"/>
  <c r="AH43" i="24" l="1"/>
  <c r="Y44" i="24"/>
  <c r="AG43" i="24"/>
  <c r="X44" i="24"/>
  <c r="AJ33" i="10"/>
  <c r="AA34" i="10"/>
  <c r="AB35" i="20"/>
  <c r="AK34" i="20"/>
  <c r="AC33" i="10"/>
  <c r="AL33" i="10" s="1"/>
  <c r="Y46" i="40"/>
  <c r="AH46" i="40" s="1"/>
  <c r="AB35" i="10"/>
  <c r="AK35" i="10" s="1"/>
  <c r="AA39" i="41"/>
  <c r="AJ39" i="41" s="1"/>
  <c r="Z32" i="20"/>
  <c r="AI32" i="20" s="1"/>
  <c r="Z46" i="41"/>
  <c r="AI46" i="41" s="1"/>
  <c r="AA46" i="40"/>
  <c r="AJ46" i="40" s="1"/>
  <c r="X46" i="41"/>
  <c r="AG46" i="41" s="1"/>
  <c r="AA47" i="24"/>
  <c r="X46" i="40"/>
  <c r="AG46" i="40" s="1"/>
  <c r="Z35" i="10"/>
  <c r="AI35" i="10" s="1"/>
  <c r="AC32" i="20"/>
  <c r="AL32" i="20" s="1"/>
  <c r="Z46" i="24"/>
  <c r="AI46" i="24" s="1"/>
  <c r="AA32" i="20"/>
  <c r="AJ32" i="20" s="1"/>
  <c r="Y39" i="41"/>
  <c r="AH39" i="41" s="1"/>
  <c r="Z46" i="40"/>
  <c r="AI46" i="40" s="1"/>
  <c r="AG44" i="24" l="1"/>
  <c r="X45" i="24"/>
  <c r="AH44" i="24"/>
  <c r="Y45" i="24"/>
  <c r="AJ34" i="10"/>
  <c r="AA35" i="10"/>
  <c r="AB36" i="20"/>
  <c r="AK35" i="20"/>
  <c r="AJ47" i="24"/>
  <c r="AW47" i="24"/>
  <c r="AC34" i="10"/>
  <c r="AL34" i="10" s="1"/>
  <c r="X47" i="40"/>
  <c r="AG47" i="40" s="1"/>
  <c r="AA48" i="24"/>
  <c r="AJ48" i="24" s="1"/>
  <c r="AC33" i="20"/>
  <c r="AL33" i="20" s="1"/>
  <c r="Z47" i="40"/>
  <c r="AI47" i="40" s="1"/>
  <c r="AA40" i="41"/>
  <c r="AJ40" i="41" s="1"/>
  <c r="X47" i="41"/>
  <c r="AG47" i="41" s="1"/>
  <c r="AB36" i="10"/>
  <c r="AK36" i="10" s="1"/>
  <c r="Z36" i="10"/>
  <c r="AI36" i="10" s="1"/>
  <c r="AA47" i="40"/>
  <c r="AJ47" i="40" s="1"/>
  <c r="Y47" i="40"/>
  <c r="AH47" i="40" s="1"/>
  <c r="AA33" i="20"/>
  <c r="AJ33" i="20" s="1"/>
  <c r="Z47" i="41"/>
  <c r="AI47" i="41" s="1"/>
  <c r="Z33" i="20"/>
  <c r="AI33" i="20" s="1"/>
  <c r="Y40" i="41"/>
  <c r="AH40" i="41" s="1"/>
  <c r="Z47" i="24"/>
  <c r="AI47" i="24" s="1"/>
  <c r="AH45" i="24" l="1"/>
  <c r="Y46" i="24"/>
  <c r="AG45" i="24"/>
  <c r="X46" i="24"/>
  <c r="AJ35" i="10"/>
  <c r="AA36" i="10"/>
  <c r="AB37" i="20"/>
  <c r="AK36" i="20"/>
  <c r="AC35" i="10"/>
  <c r="AL35" i="10" s="1"/>
  <c r="AC34" i="20"/>
  <c r="AL34" i="20" s="1"/>
  <c r="AA49" i="24"/>
  <c r="AJ49" i="24" s="1"/>
  <c r="Z48" i="41"/>
  <c r="AI48" i="41" s="1"/>
  <c r="AA41" i="41"/>
  <c r="AJ41" i="41" s="1"/>
  <c r="Z48" i="40"/>
  <c r="AI48" i="40" s="1"/>
  <c r="AA34" i="20"/>
  <c r="AJ34" i="20" s="1"/>
  <c r="Y41" i="41"/>
  <c r="AH41" i="41" s="1"/>
  <c r="Y48" i="40"/>
  <c r="AH48" i="40" s="1"/>
  <c r="X48" i="40"/>
  <c r="AG48" i="40" s="1"/>
  <c r="AA48" i="40"/>
  <c r="AJ48" i="40" s="1"/>
  <c r="Z48" i="24"/>
  <c r="AI48" i="24" s="1"/>
  <c r="Z34" i="20"/>
  <c r="AI34" i="20" s="1"/>
  <c r="Z37" i="10"/>
  <c r="AI37" i="10" s="1"/>
  <c r="AB37" i="10"/>
  <c r="AK37" i="10" s="1"/>
  <c r="X48" i="41"/>
  <c r="AG48" i="41" s="1"/>
  <c r="AG46" i="24" l="1"/>
  <c r="X47" i="24"/>
  <c r="AH46" i="24"/>
  <c r="Y47" i="24"/>
  <c r="AJ36" i="10"/>
  <c r="AA37" i="10"/>
  <c r="AB38" i="20"/>
  <c r="AK37" i="20"/>
  <c r="AC36" i="10"/>
  <c r="AL36" i="10" s="1"/>
  <c r="X49" i="40"/>
  <c r="AG49" i="40" s="1"/>
  <c r="X49" i="41"/>
  <c r="AG49" i="41" s="1"/>
  <c r="AA42" i="41"/>
  <c r="AJ42" i="41" s="1"/>
  <c r="Z49" i="41"/>
  <c r="AI49" i="41" s="1"/>
  <c r="Y49" i="40"/>
  <c r="AH49" i="40" s="1"/>
  <c r="Z38" i="10"/>
  <c r="AI38" i="10" s="1"/>
  <c r="Z35" i="20"/>
  <c r="AI35" i="20" s="1"/>
  <c r="Y42" i="41"/>
  <c r="AH42" i="41" s="1"/>
  <c r="Z49" i="24"/>
  <c r="AI49" i="24" s="1"/>
  <c r="AA50" i="24"/>
  <c r="AJ50" i="24" s="1"/>
  <c r="AB38" i="10"/>
  <c r="AK38" i="10" s="1"/>
  <c r="AA49" i="40"/>
  <c r="AJ49" i="40" s="1"/>
  <c r="AA35" i="20"/>
  <c r="AJ35" i="20" s="1"/>
  <c r="AC35" i="20"/>
  <c r="AL35" i="20" s="1"/>
  <c r="Z49" i="40"/>
  <c r="AI49" i="40" s="1"/>
  <c r="AH47" i="24" l="1"/>
  <c r="Y48" i="24"/>
  <c r="AG47" i="24"/>
  <c r="X48" i="24"/>
  <c r="AJ37" i="10"/>
  <c r="AA38" i="10"/>
  <c r="AB39" i="20"/>
  <c r="AK38" i="20"/>
  <c r="AC37" i="10"/>
  <c r="AL37" i="10" s="1"/>
  <c r="AA50" i="40"/>
  <c r="AJ50" i="40" s="1"/>
  <c r="Z50" i="24"/>
  <c r="AI50" i="24" s="1"/>
  <c r="AA43" i="41"/>
  <c r="AJ43" i="41" s="1"/>
  <c r="X50" i="41"/>
  <c r="AG50" i="41" s="1"/>
  <c r="AB39" i="10"/>
  <c r="AK39" i="10" s="1"/>
  <c r="X50" i="40"/>
  <c r="AG50" i="40" s="1"/>
  <c r="Z50" i="40"/>
  <c r="AI50" i="40" s="1"/>
  <c r="Y43" i="41"/>
  <c r="AH43" i="41" s="1"/>
  <c r="Z36" i="20"/>
  <c r="AI36" i="20" s="1"/>
  <c r="AA51" i="24"/>
  <c r="AJ51" i="24" s="1"/>
  <c r="Z39" i="10"/>
  <c r="AI39" i="10" s="1"/>
  <c r="AC36" i="20"/>
  <c r="AL36" i="20" s="1"/>
  <c r="Y50" i="40"/>
  <c r="AH50" i="40" s="1"/>
  <c r="AA36" i="20"/>
  <c r="AJ36" i="20" s="1"/>
  <c r="Z50" i="41"/>
  <c r="AI50" i="41" s="1"/>
  <c r="AG48" i="24" l="1"/>
  <c r="X49" i="24"/>
  <c r="AH48" i="24"/>
  <c r="Y49" i="24"/>
  <c r="AJ38" i="10"/>
  <c r="AA39" i="10"/>
  <c r="AB40" i="20"/>
  <c r="AK39" i="20"/>
  <c r="AC38" i="10"/>
  <c r="AL38" i="10" s="1"/>
  <c r="AC37" i="20"/>
  <c r="AL37" i="20" s="1"/>
  <c r="AA37" i="20"/>
  <c r="AJ37" i="20" s="1"/>
  <c r="AB40" i="10"/>
  <c r="AK40" i="10" s="1"/>
  <c r="Z40" i="10"/>
  <c r="AI40" i="10" s="1"/>
  <c r="X51" i="41"/>
  <c r="AG51" i="41" s="1"/>
  <c r="AA52" i="24"/>
  <c r="Y44" i="41"/>
  <c r="AH44" i="41" s="1"/>
  <c r="AA44" i="41"/>
  <c r="AJ44" i="41" s="1"/>
  <c r="Z51" i="41"/>
  <c r="AI51" i="41" s="1"/>
  <c r="Z51" i="24"/>
  <c r="AI51" i="24" s="1"/>
  <c r="Z51" i="40"/>
  <c r="AI51" i="40" s="1"/>
  <c r="AA51" i="40"/>
  <c r="AJ51" i="40" s="1"/>
  <c r="Y51" i="40"/>
  <c r="AH51" i="40" s="1"/>
  <c r="Z37" i="20"/>
  <c r="AI37" i="20" s="1"/>
  <c r="X51" i="40"/>
  <c r="AG51" i="40" s="1"/>
  <c r="AH49" i="24" l="1"/>
  <c r="Y50" i="24"/>
  <c r="AG49" i="24"/>
  <c r="X50" i="24"/>
  <c r="AJ39" i="10"/>
  <c r="AA40" i="10"/>
  <c r="AB41" i="20"/>
  <c r="AK40" i="20"/>
  <c r="AJ52" i="24"/>
  <c r="AW52" i="24"/>
  <c r="AC39" i="10"/>
  <c r="AL39" i="10" s="1"/>
  <c r="AA38" i="20"/>
  <c r="AJ38" i="20" s="1"/>
  <c r="AA53" i="24"/>
  <c r="AJ53" i="24" s="1"/>
  <c r="X52" i="41"/>
  <c r="AG52" i="41" s="1"/>
  <c r="AC38" i="20"/>
  <c r="AL38" i="20" s="1"/>
  <c r="Z52" i="24"/>
  <c r="X52" i="40"/>
  <c r="AG52" i="40" s="1"/>
  <c r="Z38" i="20"/>
  <c r="AI38" i="20" s="1"/>
  <c r="Z41" i="10"/>
  <c r="AI41" i="10" s="1"/>
  <c r="Y52" i="40"/>
  <c r="AH52" i="40" s="1"/>
  <c r="AA45" i="41"/>
  <c r="AJ45" i="41" s="1"/>
  <c r="AB41" i="10"/>
  <c r="AK41" i="10" s="1"/>
  <c r="Z52" i="41"/>
  <c r="AI52" i="41" s="1"/>
  <c r="Z52" i="40"/>
  <c r="AI52" i="40" s="1"/>
  <c r="AA52" i="40"/>
  <c r="AJ52" i="40" s="1"/>
  <c r="Y45" i="41"/>
  <c r="AH45" i="41" s="1"/>
  <c r="AG50" i="24" l="1"/>
  <c r="X51" i="24"/>
  <c r="AH50" i="24"/>
  <c r="Y51" i="24"/>
  <c r="AJ40" i="10"/>
  <c r="AA41" i="10"/>
  <c r="AB42" i="20"/>
  <c r="AK41" i="20"/>
  <c r="AI52" i="24"/>
  <c r="AV52" i="24"/>
  <c r="AC40" i="10"/>
  <c r="AL40" i="10" s="1"/>
  <c r="Y46" i="41"/>
  <c r="AH46" i="41" s="1"/>
  <c r="AB42" i="10"/>
  <c r="AK42" i="10" s="1"/>
  <c r="AA46" i="41"/>
  <c r="AJ46" i="41" s="1"/>
  <c r="Z42" i="10"/>
  <c r="AI42" i="10" s="1"/>
  <c r="AC39" i="20"/>
  <c r="AL39" i="20" s="1"/>
  <c r="X53" i="41"/>
  <c r="AG53" i="41" s="1"/>
  <c r="Z39" i="20"/>
  <c r="AI39" i="20" s="1"/>
  <c r="AA54" i="24"/>
  <c r="AJ54" i="24" s="1"/>
  <c r="AA53" i="40"/>
  <c r="AJ53" i="40" s="1"/>
  <c r="X53" i="40"/>
  <c r="AG53" i="40" s="1"/>
  <c r="Z53" i="40"/>
  <c r="AI53" i="40" s="1"/>
  <c r="Z53" i="41"/>
  <c r="AI53" i="41" s="1"/>
  <c r="Y53" i="40"/>
  <c r="AH53" i="40" s="1"/>
  <c r="Z53" i="24"/>
  <c r="AI53" i="24" s="1"/>
  <c r="AA39" i="20"/>
  <c r="AJ39" i="20" s="1"/>
  <c r="AH51" i="24" l="1"/>
  <c r="Y52" i="24"/>
  <c r="AG51" i="24"/>
  <c r="X52" i="24"/>
  <c r="AJ41" i="10"/>
  <c r="AA42" i="10"/>
  <c r="AB43" i="20"/>
  <c r="AK42" i="20"/>
  <c r="AC41" i="10"/>
  <c r="AL41" i="10" s="1"/>
  <c r="Z43" i="10"/>
  <c r="AI43" i="10" s="1"/>
  <c r="Z54" i="24"/>
  <c r="AI54" i="24" s="1"/>
  <c r="X54" i="40"/>
  <c r="AG54" i="40" s="1"/>
  <c r="Z40" i="20"/>
  <c r="AI40" i="20" s="1"/>
  <c r="AA47" i="41"/>
  <c r="AJ47" i="41" s="1"/>
  <c r="Y54" i="40"/>
  <c r="AH54" i="40" s="1"/>
  <c r="Z54" i="40"/>
  <c r="AI54" i="40" s="1"/>
  <c r="AA54" i="40"/>
  <c r="AJ54" i="40" s="1"/>
  <c r="X54" i="41"/>
  <c r="AG54" i="41" s="1"/>
  <c r="Z54" i="41"/>
  <c r="AI54" i="41" s="1"/>
  <c r="AC40" i="20"/>
  <c r="AL40" i="20" s="1"/>
  <c r="AA40" i="20"/>
  <c r="AJ40" i="20" s="1"/>
  <c r="AB43" i="10"/>
  <c r="AK43" i="10" s="1"/>
  <c r="Y47" i="41"/>
  <c r="AH47" i="41" s="1"/>
  <c r="AA55" i="24"/>
  <c r="AJ55" i="24" s="1"/>
  <c r="AG52" i="24" l="1"/>
  <c r="X53" i="24"/>
  <c r="AH52" i="24"/>
  <c r="Y53" i="24"/>
  <c r="AJ42" i="10"/>
  <c r="AA43" i="10"/>
  <c r="AB44" i="20"/>
  <c r="AK43" i="20"/>
  <c r="AC42" i="10"/>
  <c r="AL42" i="10" s="1"/>
  <c r="X55" i="41"/>
  <c r="AG55" i="41" s="1"/>
  <c r="Z41" i="20"/>
  <c r="AI41" i="20" s="1"/>
  <c r="AA55" i="40"/>
  <c r="AJ55" i="40" s="1"/>
  <c r="X55" i="40"/>
  <c r="AG55" i="40" s="1"/>
  <c r="AA56" i="24"/>
  <c r="AJ56" i="24" s="1"/>
  <c r="Z55" i="24"/>
  <c r="AI55" i="24" s="1"/>
  <c r="AA41" i="20"/>
  <c r="AJ41" i="20" s="1"/>
  <c r="AC41" i="20"/>
  <c r="AL41" i="20" s="1"/>
  <c r="Z55" i="40"/>
  <c r="AI55" i="40" s="1"/>
  <c r="Z44" i="10"/>
  <c r="AI44" i="10" s="1"/>
  <c r="Y48" i="41"/>
  <c r="AH48" i="41" s="1"/>
  <c r="Z55" i="41"/>
  <c r="AI55" i="41" s="1"/>
  <c r="AB44" i="10"/>
  <c r="AK44" i="10" s="1"/>
  <c r="Y55" i="40"/>
  <c r="AH55" i="40" s="1"/>
  <c r="AA48" i="41"/>
  <c r="AJ48" i="41" s="1"/>
  <c r="AH53" i="24" l="1"/>
  <c r="Y54" i="24"/>
  <c r="AG53" i="24"/>
  <c r="X54" i="24"/>
  <c r="AJ43" i="10"/>
  <c r="AA44" i="10"/>
  <c r="AB45" i="20"/>
  <c r="AK44" i="20"/>
  <c r="AC43" i="10"/>
  <c r="AL43" i="10" s="1"/>
  <c r="Y56" i="40"/>
  <c r="AH56" i="40" s="1"/>
  <c r="AA42" i="20"/>
  <c r="AJ42" i="20" s="1"/>
  <c r="Z56" i="24"/>
  <c r="AI56" i="24" s="1"/>
  <c r="AB45" i="10"/>
  <c r="AK45" i="10" s="1"/>
  <c r="Y49" i="41"/>
  <c r="AH49" i="41" s="1"/>
  <c r="Z45" i="10"/>
  <c r="AI45" i="10" s="1"/>
  <c r="AA57" i="24"/>
  <c r="Z56" i="40"/>
  <c r="AI56" i="40" s="1"/>
  <c r="X56" i="40"/>
  <c r="AG56" i="40" s="1"/>
  <c r="AA49" i="41"/>
  <c r="AJ49" i="41" s="1"/>
  <c r="Z56" i="41"/>
  <c r="AI56" i="41" s="1"/>
  <c r="AA56" i="40"/>
  <c r="AJ56" i="40" s="1"/>
  <c r="AC42" i="20"/>
  <c r="AL42" i="20" s="1"/>
  <c r="Z42" i="20"/>
  <c r="AI42" i="20" s="1"/>
  <c r="X56" i="41"/>
  <c r="AG56" i="41" s="1"/>
  <c r="AG54" i="24" l="1"/>
  <c r="X55" i="24"/>
  <c r="AH54" i="24"/>
  <c r="Y55" i="24"/>
  <c r="AJ44" i="10"/>
  <c r="AA45" i="10"/>
  <c r="AJ57" i="24"/>
  <c r="AW57" i="24"/>
  <c r="AB46" i="20"/>
  <c r="AK45" i="20"/>
  <c r="AC44" i="10"/>
  <c r="AL44" i="10" s="1"/>
  <c r="Z57" i="41"/>
  <c r="Z46" i="10"/>
  <c r="AI46" i="10" s="1"/>
  <c r="AA50" i="41"/>
  <c r="AJ50" i="41" s="1"/>
  <c r="Y50" i="41"/>
  <c r="AH50" i="41" s="1"/>
  <c r="AB46" i="10"/>
  <c r="AK46" i="10" s="1"/>
  <c r="X57" i="40"/>
  <c r="AG57" i="40" s="1"/>
  <c r="Z57" i="24"/>
  <c r="AA57" i="40"/>
  <c r="Z57" i="40"/>
  <c r="X57" i="41"/>
  <c r="AA43" i="20"/>
  <c r="AJ43" i="20" s="1"/>
  <c r="Z43" i="20"/>
  <c r="AI43" i="20" s="1"/>
  <c r="AA58" i="24"/>
  <c r="AJ58" i="24" s="1"/>
  <c r="Y57" i="40"/>
  <c r="AH57" i="40" s="1"/>
  <c r="AC43" i="20"/>
  <c r="AL43" i="20" s="1"/>
  <c r="AH55" i="24" l="1"/>
  <c r="Y56" i="24"/>
  <c r="AG55" i="24"/>
  <c r="X56" i="24"/>
  <c r="AG57" i="41"/>
  <c r="AJ45" i="10"/>
  <c r="AA46" i="10"/>
  <c r="AJ57" i="40"/>
  <c r="AW57" i="40"/>
  <c r="AI57" i="41"/>
  <c r="AV57" i="41"/>
  <c r="AI57" i="40"/>
  <c r="AV57" i="40"/>
  <c r="AB47" i="20"/>
  <c r="AK46" i="20"/>
  <c r="AI57" i="24"/>
  <c r="AV57" i="24"/>
  <c r="AC45" i="10"/>
  <c r="AL45" i="10" s="1"/>
  <c r="Z58" i="40"/>
  <c r="AI58" i="40" s="1"/>
  <c r="Y51" i="41"/>
  <c r="AH51" i="41" s="1"/>
  <c r="AA58" i="40"/>
  <c r="AJ58" i="40" s="1"/>
  <c r="Z58" i="24"/>
  <c r="AI58" i="24" s="1"/>
  <c r="AA44" i="20"/>
  <c r="AJ44" i="20" s="1"/>
  <c r="X58" i="40"/>
  <c r="AG58" i="40" s="1"/>
  <c r="AA51" i="41"/>
  <c r="AJ51" i="41" s="1"/>
  <c r="AC44" i="20"/>
  <c r="AL44" i="20" s="1"/>
  <c r="X58" i="41"/>
  <c r="AG58" i="41" s="1"/>
  <c r="AA59" i="24"/>
  <c r="AB47" i="10"/>
  <c r="AK47" i="10" s="1"/>
  <c r="Z47" i="10"/>
  <c r="AI47" i="10" s="1"/>
  <c r="Y58" i="40"/>
  <c r="AH58" i="40" s="1"/>
  <c r="Z44" i="20"/>
  <c r="AI44" i="20" s="1"/>
  <c r="Z58" i="41"/>
  <c r="AI58" i="41" s="1"/>
  <c r="AG56" i="24" l="1"/>
  <c r="X57" i="24"/>
  <c r="AH56" i="24"/>
  <c r="Y57" i="24"/>
  <c r="AJ46" i="10"/>
  <c r="AA47" i="10"/>
  <c r="AB48" i="20"/>
  <c r="AK47" i="20"/>
  <c r="AA60" i="24"/>
  <c r="AJ60" i="24" s="1"/>
  <c r="AJ59" i="24"/>
  <c r="AC46" i="10"/>
  <c r="AL46" i="10" s="1"/>
  <c r="Z48" i="10"/>
  <c r="AI48" i="10" s="1"/>
  <c r="AA45" i="20"/>
  <c r="AJ45" i="20" s="1"/>
  <c r="AB48" i="10"/>
  <c r="AK48" i="10" s="1"/>
  <c r="Z59" i="24"/>
  <c r="AI59" i="24" s="1"/>
  <c r="Z59" i="41"/>
  <c r="AI59" i="41" s="1"/>
  <c r="AA59" i="40"/>
  <c r="Z45" i="20"/>
  <c r="AI45" i="20" s="1"/>
  <c r="Y59" i="40"/>
  <c r="AH59" i="40" s="1"/>
  <c r="AA52" i="41"/>
  <c r="AJ52" i="41" s="1"/>
  <c r="Y52" i="41"/>
  <c r="X59" i="41"/>
  <c r="AG59" i="41" s="1"/>
  <c r="X59" i="40"/>
  <c r="AG59" i="40" s="1"/>
  <c r="Z59" i="40"/>
  <c r="AI59" i="40" s="1"/>
  <c r="AC45" i="20"/>
  <c r="AL45" i="20" s="1"/>
  <c r="AH57" i="24" l="1"/>
  <c r="Y58" i="24"/>
  <c r="AG57" i="24"/>
  <c r="X58" i="24"/>
  <c r="AH52" i="41"/>
  <c r="AJ47" i="10"/>
  <c r="AA48" i="10"/>
  <c r="AA60" i="40"/>
  <c r="AJ60" i="40" s="1"/>
  <c r="AJ59" i="40"/>
  <c r="AB49" i="20"/>
  <c r="AK48" i="20"/>
  <c r="AA61" i="24"/>
  <c r="AJ61" i="24" s="1"/>
  <c r="AC47" i="10"/>
  <c r="AL47" i="10" s="1"/>
  <c r="X60" i="41"/>
  <c r="AG60" i="41" s="1"/>
  <c r="Y53" i="41"/>
  <c r="AH53" i="41" s="1"/>
  <c r="Z60" i="41"/>
  <c r="AI60" i="41" s="1"/>
  <c r="AC46" i="20"/>
  <c r="AL46" i="20" s="1"/>
  <c r="AA53" i="41"/>
  <c r="AJ53" i="41" s="1"/>
  <c r="Z60" i="24"/>
  <c r="AI60" i="24" s="1"/>
  <c r="Y60" i="40"/>
  <c r="AH60" i="40" s="1"/>
  <c r="AB49" i="10"/>
  <c r="AK49" i="10" s="1"/>
  <c r="AA46" i="20"/>
  <c r="AJ46" i="20" s="1"/>
  <c r="Z46" i="20"/>
  <c r="AI46" i="20" s="1"/>
  <c r="Z49" i="10"/>
  <c r="AI49" i="10" s="1"/>
  <c r="Z60" i="40"/>
  <c r="AI60" i="40" s="1"/>
  <c r="X60" i="40"/>
  <c r="AG60" i="40" s="1"/>
  <c r="AG58" i="24" l="1"/>
  <c r="X59" i="24"/>
  <c r="AH58" i="24"/>
  <c r="Y59" i="24"/>
  <c r="AJ48" i="10"/>
  <c r="AA49" i="10"/>
  <c r="AA61" i="40"/>
  <c r="AJ61" i="40" s="1"/>
  <c r="AB50" i="20"/>
  <c r="AK49" i="20"/>
  <c r="AA62" i="24"/>
  <c r="AJ62" i="24" s="1"/>
  <c r="AC48" i="10"/>
  <c r="AL48" i="10" s="1"/>
  <c r="Z61" i="40"/>
  <c r="AI61" i="40" s="1"/>
  <c r="Z61" i="24"/>
  <c r="AI61" i="24" s="1"/>
  <c r="Y54" i="41"/>
  <c r="AH54" i="41" s="1"/>
  <c r="X61" i="40"/>
  <c r="AG61" i="40" s="1"/>
  <c r="Z50" i="10"/>
  <c r="AI50" i="10" s="1"/>
  <c r="AB50" i="10"/>
  <c r="AK50" i="10" s="1"/>
  <c r="AA54" i="41"/>
  <c r="AJ54" i="41" s="1"/>
  <c r="Y61" i="40"/>
  <c r="AH61" i="40" s="1"/>
  <c r="AC47" i="20"/>
  <c r="AL47" i="20" s="1"/>
  <c r="Z61" i="41"/>
  <c r="AI61" i="41" s="1"/>
  <c r="X61" i="41"/>
  <c r="AG61" i="41" s="1"/>
  <c r="Z47" i="20"/>
  <c r="AI47" i="20" s="1"/>
  <c r="AA47" i="20"/>
  <c r="AJ47" i="20" s="1"/>
  <c r="AH59" i="24" l="1"/>
  <c r="Y60" i="24"/>
  <c r="AG59" i="24"/>
  <c r="X60" i="24"/>
  <c r="AJ49" i="10"/>
  <c r="AA50" i="10"/>
  <c r="AA62" i="40"/>
  <c r="AJ62" i="40" s="1"/>
  <c r="AB51" i="20"/>
  <c r="AK50" i="20"/>
  <c r="AA63" i="24"/>
  <c r="AJ63" i="24" s="1"/>
  <c r="AC49" i="10"/>
  <c r="AL49" i="10" s="1"/>
  <c r="Z62" i="41"/>
  <c r="AI62" i="41" s="1"/>
  <c r="AA55" i="41"/>
  <c r="AJ55" i="41" s="1"/>
  <c r="Y55" i="41"/>
  <c r="AH55" i="41" s="1"/>
  <c r="X62" i="41"/>
  <c r="AG62" i="41" s="1"/>
  <c r="Z62" i="24"/>
  <c r="AI62" i="24" s="1"/>
  <c r="AC48" i="20"/>
  <c r="AL48" i="20" s="1"/>
  <c r="AB51" i="10"/>
  <c r="AK51" i="10" s="1"/>
  <c r="Z62" i="40"/>
  <c r="AI62" i="40" s="1"/>
  <c r="Z51" i="10"/>
  <c r="AI51" i="10" s="1"/>
  <c r="AA48" i="20"/>
  <c r="AJ48" i="20" s="1"/>
  <c r="X62" i="40"/>
  <c r="AG62" i="40" s="1"/>
  <c r="Z48" i="20"/>
  <c r="AI48" i="20" s="1"/>
  <c r="Y62" i="40"/>
  <c r="AH62" i="40" s="1"/>
  <c r="AG60" i="24" l="1"/>
  <c r="X61" i="24"/>
  <c r="AH60" i="24"/>
  <c r="Y61" i="24"/>
  <c r="AJ50" i="10"/>
  <c r="AA51" i="10"/>
  <c r="AA63" i="40"/>
  <c r="AJ63" i="40" s="1"/>
  <c r="AB52" i="20"/>
  <c r="AK51" i="20"/>
  <c r="AA64" i="24"/>
  <c r="AJ64" i="24" s="1"/>
  <c r="AC50" i="10"/>
  <c r="AL50" i="10" s="1"/>
  <c r="X63" i="41"/>
  <c r="AG63" i="41" s="1"/>
  <c r="X63" i="40"/>
  <c r="AG63" i="40" s="1"/>
  <c r="Y56" i="41"/>
  <c r="AH56" i="41" s="1"/>
  <c r="AB52" i="10"/>
  <c r="AK52" i="10" s="1"/>
  <c r="AA56" i="41"/>
  <c r="AJ56" i="41" s="1"/>
  <c r="AA49" i="20"/>
  <c r="AJ49" i="20" s="1"/>
  <c r="Z49" i="20"/>
  <c r="AI49" i="20" s="1"/>
  <c r="Z63" i="41"/>
  <c r="AI63" i="41" s="1"/>
  <c r="Y63" i="40"/>
  <c r="AH63" i="40" s="1"/>
  <c r="Z52" i="10"/>
  <c r="AI52" i="10" s="1"/>
  <c r="Z63" i="40"/>
  <c r="AI63" i="40" s="1"/>
  <c r="AC49" i="20"/>
  <c r="AL49" i="20" s="1"/>
  <c r="Z63" i="24"/>
  <c r="AI63" i="24" s="1"/>
  <c r="AH61" i="24" l="1"/>
  <c r="Y62" i="24"/>
  <c r="AG61" i="24"/>
  <c r="X62" i="24"/>
  <c r="AJ51" i="10"/>
  <c r="AA52" i="10"/>
  <c r="AA64" i="40"/>
  <c r="AJ64" i="40" s="1"/>
  <c r="AB53" i="20"/>
  <c r="AK52" i="20"/>
  <c r="AA65" i="24"/>
  <c r="AJ65" i="24" s="1"/>
  <c r="AC51" i="10"/>
  <c r="AL51" i="10" s="1"/>
  <c r="AA57" i="41"/>
  <c r="AB53" i="10"/>
  <c r="AK53" i="10" s="1"/>
  <c r="Z53" i="10"/>
  <c r="AI53" i="10" s="1"/>
  <c r="Y57" i="41"/>
  <c r="AH57" i="41" s="1"/>
  <c r="Y64" i="40"/>
  <c r="AH64" i="40" s="1"/>
  <c r="X64" i="40"/>
  <c r="AG64" i="40" s="1"/>
  <c r="Z64" i="41"/>
  <c r="AI64" i="41" s="1"/>
  <c r="X64" i="41"/>
  <c r="AG64" i="41" s="1"/>
  <c r="Z50" i="20"/>
  <c r="AI50" i="20" s="1"/>
  <c r="Z64" i="24"/>
  <c r="AI64" i="24" s="1"/>
  <c r="AA50" i="20"/>
  <c r="AJ50" i="20" s="1"/>
  <c r="AC50" i="20"/>
  <c r="AL50" i="20" s="1"/>
  <c r="Z64" i="40"/>
  <c r="AI64" i="40" s="1"/>
  <c r="AG62" i="24" l="1"/>
  <c r="X63" i="24"/>
  <c r="AH62" i="24"/>
  <c r="Y63" i="24"/>
  <c r="AJ52" i="10"/>
  <c r="AA53" i="10"/>
  <c r="AJ57" i="41"/>
  <c r="AW57" i="41"/>
  <c r="AA65" i="40"/>
  <c r="AJ65" i="40" s="1"/>
  <c r="AB54" i="20"/>
  <c r="AK53" i="20"/>
  <c r="AA66" i="24"/>
  <c r="AJ66" i="24" s="1"/>
  <c r="AC52" i="10"/>
  <c r="AL52" i="10" s="1"/>
  <c r="Z65" i="24"/>
  <c r="AI65" i="24" s="1"/>
  <c r="Y65" i="40"/>
  <c r="AH65" i="40" s="1"/>
  <c r="Y58" i="41"/>
  <c r="AH58" i="41" s="1"/>
  <c r="X65" i="41"/>
  <c r="AG65" i="41" s="1"/>
  <c r="Z65" i="40"/>
  <c r="AI65" i="40" s="1"/>
  <c r="AB54" i="10"/>
  <c r="AK54" i="10" s="1"/>
  <c r="Z65" i="41"/>
  <c r="AI65" i="41" s="1"/>
  <c r="Z51" i="20"/>
  <c r="AI51" i="20" s="1"/>
  <c r="Z54" i="10"/>
  <c r="AI54" i="10" s="1"/>
  <c r="AA58" i="41"/>
  <c r="AJ58" i="41" s="1"/>
  <c r="X65" i="40"/>
  <c r="AG65" i="40" s="1"/>
  <c r="AC51" i="20"/>
  <c r="AL51" i="20" s="1"/>
  <c r="AA51" i="20"/>
  <c r="AJ51" i="20" s="1"/>
  <c r="AH63" i="24" l="1"/>
  <c r="Y64" i="24"/>
  <c r="AG63" i="24"/>
  <c r="X64" i="24"/>
  <c r="AJ53" i="10"/>
  <c r="AA54" i="10"/>
  <c r="AA66" i="40"/>
  <c r="AJ66" i="40" s="1"/>
  <c r="AB55" i="20"/>
  <c r="AK54" i="20"/>
  <c r="AA67" i="24"/>
  <c r="AJ67" i="24" s="1"/>
  <c r="AC53" i="10"/>
  <c r="AL53" i="10" s="1"/>
  <c r="AB55" i="10"/>
  <c r="AK55" i="10" s="1"/>
  <c r="X66" i="41"/>
  <c r="AG66" i="41" s="1"/>
  <c r="Z66" i="40"/>
  <c r="AI66" i="40" s="1"/>
  <c r="Y59" i="41"/>
  <c r="AH59" i="41" s="1"/>
  <c r="AA52" i="20"/>
  <c r="AJ52" i="20" s="1"/>
  <c r="Z52" i="20"/>
  <c r="AI52" i="20" s="1"/>
  <c r="AC52" i="20"/>
  <c r="AL52" i="20" s="1"/>
  <c r="X66" i="40"/>
  <c r="AG66" i="40" s="1"/>
  <c r="Z66" i="41"/>
  <c r="AI66" i="41" s="1"/>
  <c r="Y66" i="40"/>
  <c r="AH66" i="40" s="1"/>
  <c r="Z55" i="10"/>
  <c r="AI55" i="10" s="1"/>
  <c r="Z66" i="24"/>
  <c r="AI66" i="24" s="1"/>
  <c r="AA59" i="41"/>
  <c r="AG64" i="24" l="1"/>
  <c r="X65" i="24"/>
  <c r="AH64" i="24"/>
  <c r="Y65" i="24"/>
  <c r="AJ54" i="10"/>
  <c r="AA55" i="10"/>
  <c r="AA67" i="40"/>
  <c r="AJ67" i="40" s="1"/>
  <c r="AA60" i="41"/>
  <c r="AJ60" i="41" s="1"/>
  <c r="AJ59" i="41"/>
  <c r="AB56" i="20"/>
  <c r="AK55" i="20"/>
  <c r="AA68" i="24"/>
  <c r="AJ68" i="24" s="1"/>
  <c r="AC54" i="10"/>
  <c r="AL54" i="10" s="1"/>
  <c r="Z53" i="20"/>
  <c r="AI53" i="20" s="1"/>
  <c r="AA53" i="20"/>
  <c r="AJ53" i="20" s="1"/>
  <c r="AC53" i="20"/>
  <c r="AL53" i="20" s="1"/>
  <c r="Y60" i="41"/>
  <c r="AH60" i="41" s="1"/>
  <c r="Z67" i="40"/>
  <c r="AI67" i="40" s="1"/>
  <c r="Z56" i="10"/>
  <c r="AI56" i="10" s="1"/>
  <c r="Z67" i="41"/>
  <c r="AI67" i="41" s="1"/>
  <c r="Y67" i="40"/>
  <c r="AH67" i="40" s="1"/>
  <c r="X67" i="40"/>
  <c r="AG67" i="40" s="1"/>
  <c r="X67" i="41"/>
  <c r="AG67" i="41" s="1"/>
  <c r="AB56" i="10"/>
  <c r="AK56" i="10" s="1"/>
  <c r="Z67" i="24"/>
  <c r="AI67" i="24" s="1"/>
  <c r="AH65" i="24" l="1"/>
  <c r="Y66" i="24"/>
  <c r="AG65" i="24"/>
  <c r="X66" i="24"/>
  <c r="AJ55" i="10"/>
  <c r="AA56" i="10"/>
  <c r="AA68" i="40"/>
  <c r="AJ68" i="40" s="1"/>
  <c r="AA61" i="41"/>
  <c r="AJ61" i="41" s="1"/>
  <c r="AB57" i="20"/>
  <c r="AK56" i="20"/>
  <c r="AA69" i="24"/>
  <c r="AJ69" i="24" s="1"/>
  <c r="AC55" i="10"/>
  <c r="AL55" i="10" s="1"/>
  <c r="Y61" i="41"/>
  <c r="AH61" i="41" s="1"/>
  <c r="X68" i="41"/>
  <c r="AG68" i="41" s="1"/>
  <c r="AC54" i="20"/>
  <c r="AL54" i="20" s="1"/>
  <c r="Z68" i="24"/>
  <c r="AI68" i="24" s="1"/>
  <c r="Z68" i="41"/>
  <c r="AI68" i="41" s="1"/>
  <c r="Z57" i="10"/>
  <c r="AI57" i="10" s="1"/>
  <c r="AA54" i="20"/>
  <c r="AJ54" i="20" s="1"/>
  <c r="X68" i="40"/>
  <c r="AG68" i="40" s="1"/>
  <c r="Y68" i="40"/>
  <c r="AH68" i="40" s="1"/>
  <c r="AB57" i="10"/>
  <c r="AK57" i="10" s="1"/>
  <c r="Z68" i="40"/>
  <c r="AI68" i="40" s="1"/>
  <c r="Z54" i="20"/>
  <c r="AI54" i="20" s="1"/>
  <c r="AG66" i="24" l="1"/>
  <c r="X67" i="24"/>
  <c r="AH66" i="24"/>
  <c r="Y67" i="24"/>
  <c r="AJ56" i="10"/>
  <c r="AA57" i="10"/>
  <c r="AA62" i="41"/>
  <c r="AJ62" i="41" s="1"/>
  <c r="AA69" i="40"/>
  <c r="AJ69" i="40" s="1"/>
  <c r="AB58" i="20"/>
  <c r="AK57" i="20"/>
  <c r="AA70" i="24"/>
  <c r="AJ70" i="24" s="1"/>
  <c r="AC56" i="10"/>
  <c r="AL56" i="10" s="1"/>
  <c r="AC55" i="20"/>
  <c r="AL55" i="20" s="1"/>
  <c r="X69" i="40"/>
  <c r="AG69" i="40" s="1"/>
  <c r="X69" i="41"/>
  <c r="AG69" i="41" s="1"/>
  <c r="AA55" i="20"/>
  <c r="AJ55" i="20" s="1"/>
  <c r="Z58" i="10"/>
  <c r="AI58" i="10" s="1"/>
  <c r="AB58" i="10"/>
  <c r="AK58" i="10" s="1"/>
  <c r="Z69" i="41"/>
  <c r="AI69" i="41" s="1"/>
  <c r="Z55" i="20"/>
  <c r="AI55" i="20" s="1"/>
  <c r="Y62" i="41"/>
  <c r="AH62" i="41" s="1"/>
  <c r="Y69" i="40"/>
  <c r="AH69" i="40" s="1"/>
  <c r="Z69" i="40"/>
  <c r="AI69" i="40" s="1"/>
  <c r="Z69" i="24"/>
  <c r="AI69" i="24" s="1"/>
  <c r="AH67" i="24" l="1"/>
  <c r="Y68" i="24"/>
  <c r="AG67" i="24"/>
  <c r="X68" i="24"/>
  <c r="AJ57" i="10"/>
  <c r="AA58" i="10"/>
  <c r="AA70" i="40"/>
  <c r="AJ70" i="40" s="1"/>
  <c r="AA63" i="41"/>
  <c r="AJ63" i="41" s="1"/>
  <c r="AB59" i="20"/>
  <c r="AK58" i="20"/>
  <c r="AA71" i="24"/>
  <c r="AJ71" i="24" s="1"/>
  <c r="AC57" i="10"/>
  <c r="AL57" i="10" s="1"/>
  <c r="Y70" i="40"/>
  <c r="AH70" i="40" s="1"/>
  <c r="X70" i="41"/>
  <c r="AG70" i="41" s="1"/>
  <c r="Y63" i="41"/>
  <c r="AH63" i="41" s="1"/>
  <c r="X70" i="40"/>
  <c r="AG70" i="40" s="1"/>
  <c r="Z56" i="20"/>
  <c r="AI56" i="20" s="1"/>
  <c r="Z70" i="24"/>
  <c r="AI70" i="24" s="1"/>
  <c r="Z70" i="41"/>
  <c r="AI70" i="41" s="1"/>
  <c r="AC56" i="20"/>
  <c r="AL56" i="20" s="1"/>
  <c r="AB59" i="10"/>
  <c r="AK59" i="10" s="1"/>
  <c r="Z59" i="10"/>
  <c r="AI59" i="10" s="1"/>
  <c r="Z70" i="40"/>
  <c r="AI70" i="40" s="1"/>
  <c r="AA56" i="20"/>
  <c r="AJ56" i="20" s="1"/>
  <c r="AG68" i="24" l="1"/>
  <c r="X69" i="24"/>
  <c r="AH68" i="24"/>
  <c r="Y69" i="24"/>
  <c r="AJ58" i="10"/>
  <c r="AA59" i="10"/>
  <c r="AA64" i="41"/>
  <c r="AJ64" i="41" s="1"/>
  <c r="AA71" i="40"/>
  <c r="AJ71" i="40" s="1"/>
  <c r="AB60" i="20"/>
  <c r="AK59" i="20"/>
  <c r="AA72" i="24"/>
  <c r="AJ72" i="24" s="1"/>
  <c r="AC58" i="10"/>
  <c r="AL58" i="10" s="1"/>
  <c r="Z71" i="40"/>
  <c r="AI71" i="40" s="1"/>
  <c r="Y64" i="41"/>
  <c r="AH64" i="41" s="1"/>
  <c r="AC57" i="20"/>
  <c r="AL57" i="20" s="1"/>
  <c r="X71" i="41"/>
  <c r="AG71" i="41" s="1"/>
  <c r="Z71" i="41"/>
  <c r="AI71" i="41" s="1"/>
  <c r="Z71" i="24"/>
  <c r="AI71" i="24" s="1"/>
  <c r="Y71" i="40"/>
  <c r="AH71" i="40" s="1"/>
  <c r="Z60" i="10"/>
  <c r="AI60" i="10" s="1"/>
  <c r="AB60" i="10"/>
  <c r="AK60" i="10" s="1"/>
  <c r="Z57" i="20"/>
  <c r="AI57" i="20" s="1"/>
  <c r="X71" i="40"/>
  <c r="AG71" i="40" s="1"/>
  <c r="AA57" i="20"/>
  <c r="AJ57" i="20" s="1"/>
  <c r="AH69" i="24" l="1"/>
  <c r="Y70" i="24"/>
  <c r="AG69" i="24"/>
  <c r="X70" i="24"/>
  <c r="AJ59" i="10"/>
  <c r="AA60" i="10"/>
  <c r="AA72" i="40"/>
  <c r="AJ72" i="40" s="1"/>
  <c r="AA65" i="41"/>
  <c r="AJ65" i="41" s="1"/>
  <c r="AB61" i="20"/>
  <c r="AK60" i="20"/>
  <c r="AA73" i="24"/>
  <c r="AJ73" i="24" s="1"/>
  <c r="AC59" i="10"/>
  <c r="AL59" i="10" s="1"/>
  <c r="Z61" i="10"/>
  <c r="AI61" i="10" s="1"/>
  <c r="X72" i="41"/>
  <c r="AG72" i="41" s="1"/>
  <c r="Y72" i="40"/>
  <c r="AH72" i="40" s="1"/>
  <c r="Z72" i="24"/>
  <c r="AI72" i="24" s="1"/>
  <c r="Z58" i="20"/>
  <c r="AI58" i="20" s="1"/>
  <c r="AC58" i="20"/>
  <c r="AL58" i="20" s="1"/>
  <c r="Y65" i="41"/>
  <c r="AH65" i="41" s="1"/>
  <c r="AB61" i="10"/>
  <c r="AK61" i="10" s="1"/>
  <c r="AA58" i="20"/>
  <c r="AJ58" i="20" s="1"/>
  <c r="Z72" i="40"/>
  <c r="AI72" i="40" s="1"/>
  <c r="X72" i="40"/>
  <c r="AG72" i="40" s="1"/>
  <c r="Z72" i="41"/>
  <c r="AI72" i="41" s="1"/>
  <c r="AG70" i="24" l="1"/>
  <c r="X71" i="24"/>
  <c r="AH70" i="24"/>
  <c r="Y71" i="24"/>
  <c r="AJ60" i="10"/>
  <c r="AA61" i="10"/>
  <c r="AA66" i="41"/>
  <c r="AJ66" i="41" s="1"/>
  <c r="AA73" i="40"/>
  <c r="AJ73" i="40" s="1"/>
  <c r="AB62" i="20"/>
  <c r="AK61" i="20"/>
  <c r="AA74" i="24"/>
  <c r="AJ74" i="24" s="1"/>
  <c r="AC60" i="10"/>
  <c r="AL60" i="10" s="1"/>
  <c r="Y66" i="41"/>
  <c r="AH66" i="41" s="1"/>
  <c r="Z73" i="24"/>
  <c r="AI73" i="24" s="1"/>
  <c r="Y73" i="40"/>
  <c r="AH73" i="40" s="1"/>
  <c r="Z73" i="40"/>
  <c r="AI73" i="40" s="1"/>
  <c r="AA59" i="20"/>
  <c r="AJ59" i="20" s="1"/>
  <c r="X73" i="40"/>
  <c r="AG73" i="40" s="1"/>
  <c r="X73" i="41"/>
  <c r="AG73" i="41" s="1"/>
  <c r="AC59" i="20"/>
  <c r="Z62" i="10"/>
  <c r="AI62" i="10" s="1"/>
  <c r="AB62" i="10"/>
  <c r="AK62" i="10" s="1"/>
  <c r="Z59" i="20"/>
  <c r="AI59" i="20" s="1"/>
  <c r="Z73" i="41"/>
  <c r="AI73" i="41" s="1"/>
  <c r="AH71" i="24" l="1"/>
  <c r="Y72" i="24"/>
  <c r="AG71" i="24"/>
  <c r="X72" i="24"/>
  <c r="AJ61" i="10"/>
  <c r="AA62" i="10"/>
  <c r="AA67" i="41"/>
  <c r="AJ67" i="41" s="1"/>
  <c r="AA74" i="40"/>
  <c r="AW74" i="40" s="1"/>
  <c r="AC60" i="20"/>
  <c r="AL60" i="20" s="1"/>
  <c r="AL59" i="20"/>
  <c r="AB63" i="20"/>
  <c r="AK62" i="20"/>
  <c r="AW74" i="24"/>
  <c r="AA75" i="24"/>
  <c r="AJ75" i="24" s="1"/>
  <c r="AC61" i="10"/>
  <c r="AL61" i="10" s="1"/>
  <c r="AB63" i="10"/>
  <c r="AK63" i="10" s="1"/>
  <c r="X74" i="40"/>
  <c r="AG74" i="40" s="1"/>
  <c r="Z74" i="40"/>
  <c r="AI74" i="40" s="1"/>
  <c r="AA60" i="20"/>
  <c r="AJ60" i="20" s="1"/>
  <c r="Z63" i="10"/>
  <c r="AI63" i="10" s="1"/>
  <c r="Z74" i="41"/>
  <c r="AI74" i="41" s="1"/>
  <c r="Y74" i="40"/>
  <c r="Z60" i="20"/>
  <c r="AI60" i="20" s="1"/>
  <c r="Z74" i="24"/>
  <c r="AI74" i="24" s="1"/>
  <c r="X74" i="41"/>
  <c r="AG74" i="41" s="1"/>
  <c r="Y67" i="41"/>
  <c r="AH67" i="41" s="1"/>
  <c r="AC61" i="20" l="1"/>
  <c r="AL61" i="20" s="1"/>
  <c r="AG72" i="24"/>
  <c r="X73" i="24"/>
  <c r="AH72" i="24"/>
  <c r="Y73" i="24"/>
  <c r="AJ62" i="10"/>
  <c r="AA63" i="10"/>
  <c r="AA75" i="40"/>
  <c r="AJ75" i="40" s="1"/>
  <c r="AA68" i="41"/>
  <c r="AJ68" i="41" s="1"/>
  <c r="AJ74" i="40"/>
  <c r="AH74" i="40"/>
  <c r="AA76" i="24"/>
  <c r="AJ76" i="24" s="1"/>
  <c r="AK63" i="20"/>
  <c r="AB64" i="20"/>
  <c r="AC62" i="10"/>
  <c r="AL62" i="10" s="1"/>
  <c r="Z75" i="24"/>
  <c r="AI75" i="24" s="1"/>
  <c r="Z64" i="10"/>
  <c r="AI64" i="10" s="1"/>
  <c r="AA61" i="20"/>
  <c r="AJ61" i="20" s="1"/>
  <c r="Z75" i="40"/>
  <c r="AI75" i="40" s="1"/>
  <c r="Y68" i="41"/>
  <c r="AH68" i="41" s="1"/>
  <c r="Z61" i="20"/>
  <c r="AI61" i="20" s="1"/>
  <c r="Z75" i="41"/>
  <c r="AI75" i="41" s="1"/>
  <c r="Y75" i="40"/>
  <c r="AH75" i="40" s="1"/>
  <c r="X75" i="40"/>
  <c r="AG75" i="40" s="1"/>
  <c r="X75" i="41"/>
  <c r="AG75" i="41" s="1"/>
  <c r="AB64" i="10"/>
  <c r="AK64" i="10" s="1"/>
  <c r="AC62" i="20" l="1"/>
  <c r="AL62" i="20" s="1"/>
  <c r="AH73" i="24"/>
  <c r="Y74" i="24"/>
  <c r="AG73" i="24"/>
  <c r="X74" i="24"/>
  <c r="AJ63" i="10"/>
  <c r="AA64" i="10"/>
  <c r="AA76" i="40"/>
  <c r="AJ76" i="40" s="1"/>
  <c r="AA69" i="41"/>
  <c r="AJ69" i="41" s="1"/>
  <c r="AA77" i="24"/>
  <c r="AJ77" i="24" s="1"/>
  <c r="AK64" i="20"/>
  <c r="AB65" i="20"/>
  <c r="AC63" i="10"/>
  <c r="AL63" i="10" s="1"/>
  <c r="AA62" i="20"/>
  <c r="AJ62" i="20" s="1"/>
  <c r="X76" i="41"/>
  <c r="AG76" i="41" s="1"/>
  <c r="X76" i="40"/>
  <c r="AG76" i="40" s="1"/>
  <c r="Z76" i="41"/>
  <c r="AI76" i="41" s="1"/>
  <c r="Z62" i="20"/>
  <c r="AI62" i="20" s="1"/>
  <c r="Y76" i="40"/>
  <c r="AH76" i="40" s="1"/>
  <c r="Z65" i="10"/>
  <c r="AI65" i="10" s="1"/>
  <c r="Y69" i="41"/>
  <c r="AH69" i="41" s="1"/>
  <c r="AB65" i="10"/>
  <c r="AK65" i="10" s="1"/>
  <c r="Z76" i="24"/>
  <c r="AI76" i="24" s="1"/>
  <c r="Z76" i="40"/>
  <c r="AI76" i="40" s="1"/>
  <c r="AC63" i="20" l="1"/>
  <c r="AL63" i="20" s="1"/>
  <c r="AG74" i="24"/>
  <c r="X75" i="24"/>
  <c r="Y75" i="24"/>
  <c r="AH74" i="24"/>
  <c r="AA77" i="40"/>
  <c r="AJ77" i="40" s="1"/>
  <c r="AJ64" i="10"/>
  <c r="AA65" i="10"/>
  <c r="AA70" i="41"/>
  <c r="AJ70" i="41" s="1"/>
  <c r="AA78" i="24"/>
  <c r="AJ78" i="24" s="1"/>
  <c r="AK65" i="20"/>
  <c r="AB66" i="20"/>
  <c r="AC64" i="10"/>
  <c r="AL64" i="10" s="1"/>
  <c r="Z77" i="41"/>
  <c r="AI77" i="41" s="1"/>
  <c r="X77" i="40"/>
  <c r="AG77" i="40" s="1"/>
  <c r="Z77" i="24"/>
  <c r="AI77" i="24" s="1"/>
  <c r="Y77" i="40"/>
  <c r="AH77" i="40" s="1"/>
  <c r="X77" i="41"/>
  <c r="AG77" i="41" s="1"/>
  <c r="AB66" i="10"/>
  <c r="AK66" i="10" s="1"/>
  <c r="Y70" i="41"/>
  <c r="AH70" i="41" s="1"/>
  <c r="Z63" i="20"/>
  <c r="AI63" i="20" s="1"/>
  <c r="AA63" i="20"/>
  <c r="AJ63" i="20" s="1"/>
  <c r="Z77" i="40"/>
  <c r="AI77" i="40" s="1"/>
  <c r="Z66" i="10"/>
  <c r="AI66" i="10" s="1"/>
  <c r="AC64" i="20" l="1"/>
  <c r="AL64" i="20" s="1"/>
  <c r="AH75" i="24"/>
  <c r="Y76" i="24"/>
  <c r="AG75" i="24"/>
  <c r="X76" i="24"/>
  <c r="AA78" i="40"/>
  <c r="AJ78" i="40" s="1"/>
  <c r="AA71" i="41"/>
  <c r="AJ71" i="41" s="1"/>
  <c r="AJ65" i="10"/>
  <c r="AA66" i="10"/>
  <c r="AA79" i="24"/>
  <c r="AK66" i="20"/>
  <c r="AB67" i="20"/>
  <c r="AC65" i="10"/>
  <c r="AL65" i="10" s="1"/>
  <c r="AC65" i="20"/>
  <c r="AL65" i="20" s="1"/>
  <c r="X78" i="41"/>
  <c r="AG78" i="41" s="1"/>
  <c r="Z67" i="10"/>
  <c r="AI67" i="10" s="1"/>
  <c r="Z64" i="20"/>
  <c r="AI64" i="20" s="1"/>
  <c r="Y78" i="40"/>
  <c r="AH78" i="40" s="1"/>
  <c r="Z78" i="40"/>
  <c r="AI78" i="40" s="1"/>
  <c r="Y71" i="41"/>
  <c r="AH71" i="41" s="1"/>
  <c r="Z78" i="24"/>
  <c r="AI78" i="24" s="1"/>
  <c r="X78" i="40"/>
  <c r="AG78" i="40" s="1"/>
  <c r="AA64" i="20"/>
  <c r="AJ64" i="20" s="1"/>
  <c r="AB67" i="10"/>
  <c r="AK67" i="10" s="1"/>
  <c r="Z78" i="41"/>
  <c r="AI78" i="41" s="1"/>
  <c r="AG76" i="24" l="1"/>
  <c r="X77" i="24"/>
  <c r="AH76" i="24"/>
  <c r="Y77" i="24"/>
  <c r="AA79" i="40"/>
  <c r="AJ79" i="40" s="1"/>
  <c r="AA72" i="41"/>
  <c r="AJ72" i="41" s="1"/>
  <c r="AJ66" i="10"/>
  <c r="AA67" i="10"/>
  <c r="AJ79" i="24"/>
  <c r="AW79" i="24"/>
  <c r="AA80" i="24"/>
  <c r="AJ80" i="24" s="1"/>
  <c r="AK67" i="20"/>
  <c r="AB68" i="20"/>
  <c r="AC66" i="10"/>
  <c r="AL66" i="10" s="1"/>
  <c r="AC66" i="20"/>
  <c r="AL66" i="20" s="1"/>
  <c r="Z79" i="41"/>
  <c r="Z79" i="24"/>
  <c r="Y72" i="41"/>
  <c r="AH72" i="41" s="1"/>
  <c r="Z79" i="40"/>
  <c r="AB68" i="10"/>
  <c r="AK68" i="10" s="1"/>
  <c r="Y79" i="40"/>
  <c r="AH79" i="40" s="1"/>
  <c r="AA65" i="20"/>
  <c r="AJ65" i="20" s="1"/>
  <c r="Z65" i="20"/>
  <c r="AI65" i="20" s="1"/>
  <c r="X79" i="40"/>
  <c r="Z68" i="10"/>
  <c r="AI68" i="10" s="1"/>
  <c r="X79" i="41"/>
  <c r="AW79" i="40" l="1"/>
  <c r="AH77" i="24"/>
  <c r="Y78" i="24"/>
  <c r="AG77" i="24"/>
  <c r="X78" i="24"/>
  <c r="AA80" i="40"/>
  <c r="AJ80" i="40" s="1"/>
  <c r="AA73" i="41"/>
  <c r="AJ73" i="41" s="1"/>
  <c r="AJ67" i="10"/>
  <c r="AA68" i="10"/>
  <c r="AA81" i="24"/>
  <c r="AJ81" i="24" s="1"/>
  <c r="AV79" i="41"/>
  <c r="AI79" i="41"/>
  <c r="AG79" i="40"/>
  <c r="AK68" i="20"/>
  <c r="AB69" i="20"/>
  <c r="AG79" i="41"/>
  <c r="AV79" i="40"/>
  <c r="AI79" i="40"/>
  <c r="AV79" i="24"/>
  <c r="AI79" i="24"/>
  <c r="AC67" i="10"/>
  <c r="AL67" i="10" s="1"/>
  <c r="AC67" i="20"/>
  <c r="AL67" i="20" s="1"/>
  <c r="AB69" i="10"/>
  <c r="AK69" i="10" s="1"/>
  <c r="Z80" i="40"/>
  <c r="AI80" i="40" s="1"/>
  <c r="Z66" i="20"/>
  <c r="AI66" i="20" s="1"/>
  <c r="AA66" i="20"/>
  <c r="AJ66" i="20" s="1"/>
  <c r="Y73" i="41"/>
  <c r="AH73" i="41" s="1"/>
  <c r="Z80" i="24"/>
  <c r="AI80" i="24" s="1"/>
  <c r="X80" i="41"/>
  <c r="AG80" i="41" s="1"/>
  <c r="X80" i="40"/>
  <c r="AG80" i="40" s="1"/>
  <c r="Z69" i="10"/>
  <c r="AI69" i="10" s="1"/>
  <c r="Y80" i="40"/>
  <c r="AH80" i="40" s="1"/>
  <c r="Z80" i="41"/>
  <c r="AI80" i="41" s="1"/>
  <c r="AA81" i="40" l="1"/>
  <c r="AJ81" i="40" s="1"/>
  <c r="AG78" i="24"/>
  <c r="X79" i="24"/>
  <c r="AH78" i="24"/>
  <c r="Y79" i="24"/>
  <c r="AA74" i="41"/>
  <c r="AJ74" i="41" s="1"/>
  <c r="AJ68" i="10"/>
  <c r="AA69" i="10"/>
  <c r="AA82" i="24"/>
  <c r="AJ82" i="24" s="1"/>
  <c r="AK69" i="20"/>
  <c r="AB70" i="20"/>
  <c r="AW74" i="41"/>
  <c r="AC68" i="10"/>
  <c r="AL68" i="10" s="1"/>
  <c r="AC68" i="20"/>
  <c r="AL68" i="20" s="1"/>
  <c r="AA82" i="40"/>
  <c r="AJ82" i="40" s="1"/>
  <c r="Y81" i="40"/>
  <c r="AH81" i="40" s="1"/>
  <c r="X81" i="41"/>
  <c r="AG81" i="41" s="1"/>
  <c r="Y74" i="41"/>
  <c r="Z81" i="24"/>
  <c r="AI81" i="24" s="1"/>
  <c r="AA67" i="20"/>
  <c r="AJ67" i="20" s="1"/>
  <c r="Z70" i="10"/>
  <c r="AI70" i="10" s="1"/>
  <c r="Z67" i="20"/>
  <c r="AI67" i="20" s="1"/>
  <c r="X81" i="40"/>
  <c r="AG81" i="40" s="1"/>
  <c r="Z81" i="40"/>
  <c r="AI81" i="40" s="1"/>
  <c r="Z81" i="41"/>
  <c r="AI81" i="41" s="1"/>
  <c r="AB70" i="10"/>
  <c r="AK70" i="10" s="1"/>
  <c r="AH79" i="24" l="1"/>
  <c r="Y80" i="24"/>
  <c r="X80" i="24"/>
  <c r="AG79" i="24"/>
  <c r="AA75" i="41"/>
  <c r="AJ75" i="41" s="1"/>
  <c r="AA83" i="24"/>
  <c r="AJ83" i="24" s="1"/>
  <c r="AJ69" i="10"/>
  <c r="AA70" i="10"/>
  <c r="AH74" i="41"/>
  <c r="AK70" i="20"/>
  <c r="AB71" i="20"/>
  <c r="AC69" i="10"/>
  <c r="AL69" i="10" s="1"/>
  <c r="AA83" i="40"/>
  <c r="AJ83" i="40" s="1"/>
  <c r="AC69" i="20"/>
  <c r="AL69" i="20" s="1"/>
  <c r="Z71" i="10"/>
  <c r="AI71" i="10" s="1"/>
  <c r="AA68" i="20"/>
  <c r="AJ68" i="20" s="1"/>
  <c r="Z68" i="20"/>
  <c r="AI68" i="20" s="1"/>
  <c r="Z82" i="24"/>
  <c r="AI82" i="24" s="1"/>
  <c r="Z82" i="41"/>
  <c r="AI82" i="41" s="1"/>
  <c r="Z82" i="40"/>
  <c r="AI82" i="40" s="1"/>
  <c r="Y75" i="41"/>
  <c r="AH75" i="41" s="1"/>
  <c r="X82" i="40"/>
  <c r="AG82" i="40" s="1"/>
  <c r="X82" i="41"/>
  <c r="AG82" i="41" s="1"/>
  <c r="Y82" i="40"/>
  <c r="AH82" i="40" s="1"/>
  <c r="AB71" i="10"/>
  <c r="AK71" i="10" s="1"/>
  <c r="AG80" i="24" l="1"/>
  <c r="X81" i="24"/>
  <c r="AA76" i="41"/>
  <c r="AJ76" i="41" s="1"/>
  <c r="AH80" i="24"/>
  <c r="Y81" i="24"/>
  <c r="AA84" i="24"/>
  <c r="AJ84" i="24" s="1"/>
  <c r="AJ70" i="10"/>
  <c r="AA71" i="10"/>
  <c r="AK71" i="20"/>
  <c r="AB72" i="20"/>
  <c r="AC70" i="10"/>
  <c r="AL70" i="10" s="1"/>
  <c r="AC70" i="20"/>
  <c r="AL70" i="20" s="1"/>
  <c r="AA84" i="40"/>
  <c r="AJ84" i="40" s="1"/>
  <c r="Z83" i="24"/>
  <c r="AI83" i="24" s="1"/>
  <c r="Z69" i="20"/>
  <c r="AI69" i="20" s="1"/>
  <c r="X83" i="41"/>
  <c r="AG83" i="41" s="1"/>
  <c r="Z83" i="40"/>
  <c r="AI83" i="40" s="1"/>
  <c r="AA69" i="20"/>
  <c r="AJ69" i="20" s="1"/>
  <c r="X83" i="40"/>
  <c r="AG83" i="40" s="1"/>
  <c r="Z72" i="10"/>
  <c r="AI72" i="10" s="1"/>
  <c r="Y76" i="41"/>
  <c r="AH76" i="41" s="1"/>
  <c r="Z83" i="41"/>
  <c r="AI83" i="41" s="1"/>
  <c r="AB72" i="10"/>
  <c r="AK72" i="10" s="1"/>
  <c r="Y83" i="40"/>
  <c r="AH83" i="40" s="1"/>
  <c r="AH81" i="24" l="1"/>
  <c r="Y82" i="24"/>
  <c r="AG81" i="24"/>
  <c r="X82" i="24"/>
  <c r="AA77" i="41"/>
  <c r="AJ77" i="41" s="1"/>
  <c r="AA85" i="24"/>
  <c r="AJ85" i="24" s="1"/>
  <c r="AJ71" i="10"/>
  <c r="AA72" i="10"/>
  <c r="AK72" i="20"/>
  <c r="AB73" i="20"/>
  <c r="AC71" i="10"/>
  <c r="AL71" i="10" s="1"/>
  <c r="AA85" i="40"/>
  <c r="AJ85" i="40" s="1"/>
  <c r="AC71" i="20"/>
  <c r="AL71" i="20" s="1"/>
  <c r="AA70" i="20"/>
  <c r="AJ70" i="20" s="1"/>
  <c r="Y84" i="40"/>
  <c r="AH84" i="40" s="1"/>
  <c r="Z73" i="10"/>
  <c r="AI73" i="10" s="1"/>
  <c r="Z84" i="40"/>
  <c r="AI84" i="40" s="1"/>
  <c r="AB73" i="10"/>
  <c r="AK73" i="10" s="1"/>
  <c r="X84" i="41"/>
  <c r="AG84" i="41" s="1"/>
  <c r="X84" i="40"/>
  <c r="AG84" i="40" s="1"/>
  <c r="Z84" i="41"/>
  <c r="AI84" i="41" s="1"/>
  <c r="Z70" i="20"/>
  <c r="AI70" i="20" s="1"/>
  <c r="Y77" i="41"/>
  <c r="AH77" i="41" s="1"/>
  <c r="Z84" i="24"/>
  <c r="AI84" i="24" s="1"/>
  <c r="AG82" i="24" l="1"/>
  <c r="X83" i="24"/>
  <c r="AH82" i="24"/>
  <c r="Y83" i="24"/>
  <c r="AA78" i="41"/>
  <c r="AJ78" i="41" s="1"/>
  <c r="AA86" i="24"/>
  <c r="AJ86" i="24" s="1"/>
  <c r="AJ72" i="10"/>
  <c r="AA73" i="10"/>
  <c r="AK73" i="20"/>
  <c r="AB74" i="20"/>
  <c r="AC72" i="10"/>
  <c r="AL72" i="10" s="1"/>
  <c r="AC72" i="20"/>
  <c r="AL72" i="20" s="1"/>
  <c r="AA86" i="40"/>
  <c r="AJ86" i="40" s="1"/>
  <c r="Z85" i="24"/>
  <c r="AI85" i="24" s="1"/>
  <c r="X85" i="41"/>
  <c r="AG85" i="41" s="1"/>
  <c r="Y78" i="41"/>
  <c r="AH78" i="41" s="1"/>
  <c r="X85" i="40"/>
  <c r="AG85" i="40" s="1"/>
  <c r="AB74" i="10"/>
  <c r="AK74" i="10" s="1"/>
  <c r="Z85" i="40"/>
  <c r="AI85" i="40" s="1"/>
  <c r="Z74" i="10"/>
  <c r="AI74" i="10" s="1"/>
  <c r="Y85" i="40"/>
  <c r="AH85" i="40" s="1"/>
  <c r="Z71" i="20"/>
  <c r="AI71" i="20" s="1"/>
  <c r="Z85" i="41"/>
  <c r="AI85" i="41" s="1"/>
  <c r="AA71" i="20"/>
  <c r="AJ71" i="20" s="1"/>
  <c r="AH83" i="24" l="1"/>
  <c r="Y84" i="24"/>
  <c r="AG83" i="24"/>
  <c r="X84" i="24"/>
  <c r="AA79" i="41"/>
  <c r="AA80" i="41" s="1"/>
  <c r="AJ80" i="41" s="1"/>
  <c r="AA87" i="24"/>
  <c r="AJ87" i="24" s="1"/>
  <c r="AJ73" i="10"/>
  <c r="AA74" i="10"/>
  <c r="AK74" i="20"/>
  <c r="AB75" i="20"/>
  <c r="AC73" i="10"/>
  <c r="AL73" i="10" s="1"/>
  <c r="AA87" i="40"/>
  <c r="AJ87" i="40" s="1"/>
  <c r="AC73" i="20"/>
  <c r="AL73" i="20" s="1"/>
  <c r="Y86" i="40"/>
  <c r="AH86" i="40" s="1"/>
  <c r="AB75" i="10"/>
  <c r="AK75" i="10" s="1"/>
  <c r="X86" i="40"/>
  <c r="AG86" i="40" s="1"/>
  <c r="Z75" i="10"/>
  <c r="AI75" i="10" s="1"/>
  <c r="Y79" i="41"/>
  <c r="AH79" i="41" s="1"/>
  <c r="AA72" i="20"/>
  <c r="AJ72" i="20" s="1"/>
  <c r="X86" i="41"/>
  <c r="AG86" i="41" s="1"/>
  <c r="Z86" i="41"/>
  <c r="AI86" i="41" s="1"/>
  <c r="Z86" i="40"/>
  <c r="AI86" i="40" s="1"/>
  <c r="Z72" i="20"/>
  <c r="AI72" i="20" s="1"/>
  <c r="Z86" i="24"/>
  <c r="AI86" i="24" s="1"/>
  <c r="AW79" i="41" l="1"/>
  <c r="AJ79" i="41"/>
  <c r="AG84" i="24"/>
  <c r="X85" i="24"/>
  <c r="AH84" i="24"/>
  <c r="Y85" i="24"/>
  <c r="AA88" i="24"/>
  <c r="AJ88" i="24" s="1"/>
  <c r="AJ74" i="10"/>
  <c r="AA75" i="10"/>
  <c r="AK75" i="20"/>
  <c r="AB76" i="20"/>
  <c r="AC74" i="10"/>
  <c r="AC74" i="20"/>
  <c r="AA81" i="41"/>
  <c r="AJ81" i="41" s="1"/>
  <c r="AA88" i="40"/>
  <c r="AJ88" i="40" s="1"/>
  <c r="Z87" i="41"/>
  <c r="AI87" i="41" s="1"/>
  <c r="Z73" i="20"/>
  <c r="AI73" i="20" s="1"/>
  <c r="Y80" i="41"/>
  <c r="AH80" i="41" s="1"/>
  <c r="X87" i="41"/>
  <c r="AG87" i="41" s="1"/>
  <c r="Z76" i="10"/>
  <c r="AI76" i="10" s="1"/>
  <c r="X87" i="40"/>
  <c r="AG87" i="40" s="1"/>
  <c r="Z87" i="24"/>
  <c r="AI87" i="24" s="1"/>
  <c r="AB76" i="10"/>
  <c r="AK76" i="10" s="1"/>
  <c r="AA73" i="20"/>
  <c r="AJ73" i="20" s="1"/>
  <c r="Y87" i="40"/>
  <c r="AH87" i="40" s="1"/>
  <c r="Z87" i="40"/>
  <c r="AI87" i="40" s="1"/>
  <c r="AH85" i="24" l="1"/>
  <c r="Y86" i="24"/>
  <c r="AG85" i="24"/>
  <c r="X86" i="24"/>
  <c r="AA89" i="24"/>
  <c r="AJ89" i="24" s="1"/>
  <c r="AJ75" i="10"/>
  <c r="AA76" i="10"/>
  <c r="AL74" i="20"/>
  <c r="AL74" i="10"/>
  <c r="AK76" i="20"/>
  <c r="AB77" i="20"/>
  <c r="AC75" i="10"/>
  <c r="AL75" i="10" s="1"/>
  <c r="AA89" i="40"/>
  <c r="AJ89" i="40" s="1"/>
  <c r="AA82" i="41"/>
  <c r="AJ82" i="41" s="1"/>
  <c r="AC75" i="20"/>
  <c r="AL75" i="20" s="1"/>
  <c r="Z77" i="10"/>
  <c r="AI77" i="10" s="1"/>
  <c r="Z88" i="40"/>
  <c r="AI88" i="40" s="1"/>
  <c r="X88" i="41"/>
  <c r="AG88" i="41" s="1"/>
  <c r="Y81" i="41"/>
  <c r="AH81" i="41" s="1"/>
  <c r="AA74" i="20"/>
  <c r="Z88" i="24"/>
  <c r="AI88" i="24" s="1"/>
  <c r="Z74" i="20"/>
  <c r="AI74" i="20" s="1"/>
  <c r="X88" i="40"/>
  <c r="AG88" i="40" s="1"/>
  <c r="Z88" i="41"/>
  <c r="AI88" i="41" s="1"/>
  <c r="Y88" i="40"/>
  <c r="AH88" i="40" s="1"/>
  <c r="AB77" i="10"/>
  <c r="AK77" i="10" s="1"/>
  <c r="AG86" i="24" l="1"/>
  <c r="X87" i="24"/>
  <c r="AH86" i="24"/>
  <c r="Y87" i="24"/>
  <c r="AA90" i="24"/>
  <c r="AJ90" i="24" s="1"/>
  <c r="AJ76" i="10"/>
  <c r="AA77" i="10"/>
  <c r="AK77" i="20"/>
  <c r="AB78" i="20"/>
  <c r="AJ74" i="20"/>
  <c r="AC76" i="10"/>
  <c r="AL76" i="10" s="1"/>
  <c r="AC76" i="20"/>
  <c r="AL76" i="20" s="1"/>
  <c r="AA83" i="41"/>
  <c r="AJ83" i="41" s="1"/>
  <c r="AA90" i="40"/>
  <c r="AJ90" i="40" s="1"/>
  <c r="Z89" i="24"/>
  <c r="AI89" i="24" s="1"/>
  <c r="Z89" i="40"/>
  <c r="AI89" i="40" s="1"/>
  <c r="AB78" i="10"/>
  <c r="AK78" i="10" s="1"/>
  <c r="AA75" i="20"/>
  <c r="AJ75" i="20" s="1"/>
  <c r="Y82" i="41"/>
  <c r="AH82" i="41" s="1"/>
  <c r="Y89" i="40"/>
  <c r="AH89" i="40" s="1"/>
  <c r="Z89" i="41"/>
  <c r="AI89" i="41" s="1"/>
  <c r="X89" i="41"/>
  <c r="AG89" i="41" s="1"/>
  <c r="Z78" i="10"/>
  <c r="AI78" i="10" s="1"/>
  <c r="X89" i="40"/>
  <c r="AG89" i="40" s="1"/>
  <c r="Z75" i="20"/>
  <c r="AI75" i="20" s="1"/>
  <c r="AH87" i="24" l="1"/>
  <c r="Y88" i="24"/>
  <c r="AG87" i="24"/>
  <c r="X88" i="24"/>
  <c r="AA91" i="24"/>
  <c r="AJ91" i="24" s="1"/>
  <c r="AJ77" i="10"/>
  <c r="AA78" i="10"/>
  <c r="AK78" i="20"/>
  <c r="AB79" i="20"/>
  <c r="AC77" i="10"/>
  <c r="AL77" i="10" s="1"/>
  <c r="AA91" i="40"/>
  <c r="AJ91" i="40" s="1"/>
  <c r="AA84" i="41"/>
  <c r="AJ84" i="41" s="1"/>
  <c r="AC77" i="20"/>
  <c r="AL77" i="20" s="1"/>
  <c r="X90" i="41"/>
  <c r="AG90" i="41" s="1"/>
  <c r="Y83" i="41"/>
  <c r="AH83" i="41" s="1"/>
  <c r="Z76" i="20"/>
  <c r="AI76" i="20" s="1"/>
  <c r="X90" i="40"/>
  <c r="AG90" i="40" s="1"/>
  <c r="Z90" i="41"/>
  <c r="AI90" i="41" s="1"/>
  <c r="AA76" i="20"/>
  <c r="AJ76" i="20" s="1"/>
  <c r="Z79" i="10"/>
  <c r="Y90" i="40"/>
  <c r="AH90" i="40" s="1"/>
  <c r="AB79" i="10"/>
  <c r="Z90" i="40"/>
  <c r="AI90" i="40" s="1"/>
  <c r="Z90" i="24"/>
  <c r="AI90" i="24" s="1"/>
  <c r="AG88" i="24" l="1"/>
  <c r="X89" i="24"/>
  <c r="AH88" i="24"/>
  <c r="Y89" i="24"/>
  <c r="AA92" i="24"/>
  <c r="AJ92" i="24" s="1"/>
  <c r="AJ78" i="10"/>
  <c r="AA79" i="10"/>
  <c r="AK79" i="10"/>
  <c r="AK79" i="20"/>
  <c r="AB80" i="20"/>
  <c r="AI79" i="10"/>
  <c r="AC78" i="10"/>
  <c r="AL78" i="10" s="1"/>
  <c r="AC78" i="20"/>
  <c r="AL78" i="20" s="1"/>
  <c r="AA85" i="41"/>
  <c r="AJ85" i="41" s="1"/>
  <c r="AA92" i="40"/>
  <c r="AJ92" i="40" s="1"/>
  <c r="Z80" i="10"/>
  <c r="AI80" i="10" s="1"/>
  <c r="Z77" i="20"/>
  <c r="AI77" i="20" s="1"/>
  <c r="Y91" i="40"/>
  <c r="AH91" i="40" s="1"/>
  <c r="Y84" i="41"/>
  <c r="AH84" i="41" s="1"/>
  <c r="Z91" i="40"/>
  <c r="AI91" i="40" s="1"/>
  <c r="AA77" i="20"/>
  <c r="AJ77" i="20" s="1"/>
  <c r="Z91" i="41"/>
  <c r="AI91" i="41" s="1"/>
  <c r="X91" i="40"/>
  <c r="AG91" i="40" s="1"/>
  <c r="X91" i="41"/>
  <c r="AG91" i="41" s="1"/>
  <c r="Z91" i="24"/>
  <c r="AI91" i="24" s="1"/>
  <c r="AB80" i="10"/>
  <c r="AK80" i="10" s="1"/>
  <c r="AH89" i="24" l="1"/>
  <c r="Y90" i="24"/>
  <c r="AG89" i="24"/>
  <c r="X90" i="24"/>
  <c r="AA93" i="24"/>
  <c r="AJ93" i="24" s="1"/>
  <c r="AJ79" i="10"/>
  <c r="AA80" i="10"/>
  <c r="AK80" i="20"/>
  <c r="AB81" i="20"/>
  <c r="AC79" i="10"/>
  <c r="AA93" i="40"/>
  <c r="AJ93" i="40" s="1"/>
  <c r="AA86" i="41"/>
  <c r="AJ86" i="41" s="1"/>
  <c r="AC79" i="20"/>
  <c r="AL79" i="20" s="1"/>
  <c r="AA78" i="20"/>
  <c r="AJ78" i="20" s="1"/>
  <c r="X92" i="41"/>
  <c r="AG92" i="41" s="1"/>
  <c r="Y92" i="40"/>
  <c r="AH92" i="40" s="1"/>
  <c r="Z92" i="40"/>
  <c r="AI92" i="40" s="1"/>
  <c r="X92" i="40"/>
  <c r="AG92" i="40" s="1"/>
  <c r="Z78" i="20"/>
  <c r="AI78" i="20" s="1"/>
  <c r="Z92" i="24"/>
  <c r="AI92" i="24" s="1"/>
  <c r="Z92" i="41"/>
  <c r="AI92" i="41" s="1"/>
  <c r="Z81" i="10"/>
  <c r="AI81" i="10" s="1"/>
  <c r="Y85" i="41"/>
  <c r="AH85" i="41" s="1"/>
  <c r="AB81" i="10"/>
  <c r="AK81" i="10" s="1"/>
  <c r="AG90" i="24" l="1"/>
  <c r="X91" i="24"/>
  <c r="AH90" i="24"/>
  <c r="Y91" i="24"/>
  <c r="AA94" i="24"/>
  <c r="AJ94" i="24" s="1"/>
  <c r="AJ80" i="10"/>
  <c r="AA81" i="10"/>
  <c r="AK81" i="20"/>
  <c r="AB82" i="20"/>
  <c r="AL79" i="10"/>
  <c r="AC80" i="10"/>
  <c r="AC80" i="20"/>
  <c r="AL80" i="20" s="1"/>
  <c r="AA87" i="41"/>
  <c r="AJ87" i="41" s="1"/>
  <c r="AA94" i="40"/>
  <c r="AJ94" i="40" s="1"/>
  <c r="AB82" i="10"/>
  <c r="AK82" i="10" s="1"/>
  <c r="Z79" i="20"/>
  <c r="X93" i="40"/>
  <c r="AG93" i="40" s="1"/>
  <c r="Z93" i="41"/>
  <c r="AI93" i="41" s="1"/>
  <c r="Z93" i="40"/>
  <c r="AI93" i="40" s="1"/>
  <c r="Z93" i="24"/>
  <c r="AI93" i="24" s="1"/>
  <c r="Y93" i="40"/>
  <c r="AH93" i="40" s="1"/>
  <c r="X93" i="41"/>
  <c r="AG93" i="41" s="1"/>
  <c r="Y86" i="41"/>
  <c r="AH86" i="41" s="1"/>
  <c r="Z82" i="10"/>
  <c r="AI82" i="10" s="1"/>
  <c r="AA79" i="20"/>
  <c r="AJ79" i="20" s="1"/>
  <c r="AH91" i="24" l="1"/>
  <c r="Y92" i="24"/>
  <c r="AG91" i="24"/>
  <c r="X92" i="24"/>
  <c r="AA95" i="24"/>
  <c r="AJ95" i="24" s="1"/>
  <c r="AJ81" i="10"/>
  <c r="AA82" i="10"/>
  <c r="AI79" i="20"/>
  <c r="AK82" i="20"/>
  <c r="AB83" i="20"/>
  <c r="AL80" i="10"/>
  <c r="AC81" i="10"/>
  <c r="AA95" i="40"/>
  <c r="AJ95" i="40" s="1"/>
  <c r="AA88" i="41"/>
  <c r="AJ88" i="41" s="1"/>
  <c r="AC81" i="20"/>
  <c r="AL81" i="20" s="1"/>
  <c r="X94" i="41"/>
  <c r="AG94" i="41" s="1"/>
  <c r="X94" i="40"/>
  <c r="AG94" i="40" s="1"/>
  <c r="Z80" i="20"/>
  <c r="AI80" i="20" s="1"/>
  <c r="Y94" i="40"/>
  <c r="AH94" i="40" s="1"/>
  <c r="Z83" i="10"/>
  <c r="AI83" i="10" s="1"/>
  <c r="AA80" i="20"/>
  <c r="AJ80" i="20" s="1"/>
  <c r="Y87" i="41"/>
  <c r="AH87" i="41" s="1"/>
  <c r="Z94" i="24"/>
  <c r="AI94" i="24" s="1"/>
  <c r="AB83" i="10"/>
  <c r="AK83" i="10" s="1"/>
  <c r="Z94" i="40"/>
  <c r="AI94" i="40" s="1"/>
  <c r="Z94" i="41"/>
  <c r="AI94" i="41" s="1"/>
  <c r="AG92" i="24" l="1"/>
  <c r="X93" i="24"/>
  <c r="AA96" i="24"/>
  <c r="AJ96" i="24" s="1"/>
  <c r="AH92" i="24"/>
  <c r="Y93" i="24"/>
  <c r="AJ82" i="10"/>
  <c r="AA83" i="10"/>
  <c r="AK83" i="20"/>
  <c r="AB84" i="20"/>
  <c r="AL81" i="10"/>
  <c r="AC82" i="10"/>
  <c r="AC82" i="20"/>
  <c r="AL82" i="20" s="1"/>
  <c r="AA89" i="41"/>
  <c r="AJ89" i="41" s="1"/>
  <c r="AA96" i="40"/>
  <c r="AJ96" i="40" s="1"/>
  <c r="Z95" i="41"/>
  <c r="AI95" i="41" s="1"/>
  <c r="Z95" i="24"/>
  <c r="AI95" i="24" s="1"/>
  <c r="Z81" i="20"/>
  <c r="AI81" i="20" s="1"/>
  <c r="Z95" i="40"/>
  <c r="AI95" i="40" s="1"/>
  <c r="Y88" i="41"/>
  <c r="AH88" i="41" s="1"/>
  <c r="AA81" i="20"/>
  <c r="AJ81" i="20" s="1"/>
  <c r="Z84" i="10"/>
  <c r="AI84" i="10" s="1"/>
  <c r="AB84" i="10"/>
  <c r="AK84" i="10" s="1"/>
  <c r="X95" i="40"/>
  <c r="AG95" i="40" s="1"/>
  <c r="Y95" i="40"/>
  <c r="AH95" i="40" s="1"/>
  <c r="X95" i="41"/>
  <c r="AG95" i="41" s="1"/>
  <c r="AH93" i="24" l="1"/>
  <c r="Y94" i="24"/>
  <c r="AG93" i="24"/>
  <c r="X94" i="24"/>
  <c r="AA97" i="24"/>
  <c r="AJ97" i="24" s="1"/>
  <c r="AJ83" i="10"/>
  <c r="AA84" i="10"/>
  <c r="AK84" i="20"/>
  <c r="AB85" i="20"/>
  <c r="AL82" i="10"/>
  <c r="AC83" i="10"/>
  <c r="AA97" i="40"/>
  <c r="AJ97" i="40" s="1"/>
  <c r="AA90" i="41"/>
  <c r="AJ90" i="41" s="1"/>
  <c r="AC83" i="20"/>
  <c r="AL83" i="20" s="1"/>
  <c r="X96" i="41"/>
  <c r="AG96" i="41" s="1"/>
  <c r="Z85" i="10"/>
  <c r="AI85" i="10" s="1"/>
  <c r="Z96" i="24"/>
  <c r="AI96" i="24" s="1"/>
  <c r="AA82" i="20"/>
  <c r="AJ82" i="20" s="1"/>
  <c r="Y96" i="40"/>
  <c r="AH96" i="40" s="1"/>
  <c r="X96" i="40"/>
  <c r="AG96" i="40" s="1"/>
  <c r="Y89" i="41"/>
  <c r="AH89" i="41" s="1"/>
  <c r="Z96" i="41"/>
  <c r="AI96" i="41" s="1"/>
  <c r="Z96" i="40"/>
  <c r="AI96" i="40" s="1"/>
  <c r="AB85" i="10"/>
  <c r="AK85" i="10" s="1"/>
  <c r="Z82" i="20"/>
  <c r="AI82" i="20" s="1"/>
  <c r="AG94" i="24" l="1"/>
  <c r="X95" i="24"/>
  <c r="AH94" i="24"/>
  <c r="Y95" i="24"/>
  <c r="AA98" i="24"/>
  <c r="AJ98" i="24" s="1"/>
  <c r="AJ84" i="10"/>
  <c r="AA85" i="10"/>
  <c r="AK85" i="20"/>
  <c r="AB86" i="20"/>
  <c r="AL83" i="10"/>
  <c r="AC84" i="10"/>
  <c r="AC84" i="20"/>
  <c r="AL84" i="20" s="1"/>
  <c r="AA91" i="41"/>
  <c r="AJ91" i="41" s="1"/>
  <c r="AA98" i="40"/>
  <c r="AJ98" i="40" s="1"/>
  <c r="AB86" i="10"/>
  <c r="AK86" i="10" s="1"/>
  <c r="Y90" i="41"/>
  <c r="AH90" i="41" s="1"/>
  <c r="AA83" i="20"/>
  <c r="AJ83" i="20" s="1"/>
  <c r="X97" i="40"/>
  <c r="AG97" i="40" s="1"/>
  <c r="Y97" i="40"/>
  <c r="AH97" i="40" s="1"/>
  <c r="Z97" i="40"/>
  <c r="AI97" i="40" s="1"/>
  <c r="Z97" i="24"/>
  <c r="AI97" i="24" s="1"/>
  <c r="Z86" i="10"/>
  <c r="AI86" i="10" s="1"/>
  <c r="Z83" i="20"/>
  <c r="AI83" i="20" s="1"/>
  <c r="X97" i="41"/>
  <c r="AG97" i="41" s="1"/>
  <c r="Z97" i="41"/>
  <c r="AI97" i="41" s="1"/>
  <c r="AH95" i="24" l="1"/>
  <c r="Y96" i="24"/>
  <c r="AG95" i="24"/>
  <c r="X96" i="24"/>
  <c r="AA99" i="24"/>
  <c r="AJ99" i="24" s="1"/>
  <c r="AJ85" i="10"/>
  <c r="AA86" i="10"/>
  <c r="AK86" i="20"/>
  <c r="AB87" i="20"/>
  <c r="AL84" i="10"/>
  <c r="AC85" i="10"/>
  <c r="AA99" i="40"/>
  <c r="AJ99" i="40" s="1"/>
  <c r="AA92" i="41"/>
  <c r="AJ92" i="41" s="1"/>
  <c r="AC85" i="20"/>
  <c r="AL85" i="20" s="1"/>
  <c r="AA84" i="20"/>
  <c r="AJ84" i="20" s="1"/>
  <c r="Z98" i="40"/>
  <c r="AI98" i="40" s="1"/>
  <c r="Z84" i="20"/>
  <c r="AI84" i="20" s="1"/>
  <c r="Y98" i="40"/>
  <c r="AH98" i="40" s="1"/>
  <c r="Z87" i="10"/>
  <c r="AI87" i="10" s="1"/>
  <c r="X98" i="40"/>
  <c r="AG98" i="40" s="1"/>
  <c r="Y91" i="41"/>
  <c r="AH91" i="41" s="1"/>
  <c r="Z98" i="41"/>
  <c r="AI98" i="41" s="1"/>
  <c r="Z98" i="24"/>
  <c r="AI98" i="24" s="1"/>
  <c r="AB87" i="10"/>
  <c r="AK87" i="10" s="1"/>
  <c r="X98" i="41"/>
  <c r="AG98" i="41" s="1"/>
  <c r="AG96" i="24" l="1"/>
  <c r="X97" i="24"/>
  <c r="AH96" i="24"/>
  <c r="Y97" i="24"/>
  <c r="AA100" i="24"/>
  <c r="AJ86" i="10"/>
  <c r="AA87" i="10"/>
  <c r="AK87" i="20"/>
  <c r="AB88" i="20"/>
  <c r="AL85" i="10"/>
  <c r="AC86" i="10"/>
  <c r="AC86" i="20"/>
  <c r="AL86" i="20" s="1"/>
  <c r="AA93" i="41"/>
  <c r="AJ93" i="41" s="1"/>
  <c r="AA100" i="40"/>
  <c r="X99" i="40"/>
  <c r="AG99" i="40" s="1"/>
  <c r="Y99" i="40"/>
  <c r="AH99" i="40" s="1"/>
  <c r="Z99" i="24"/>
  <c r="AI99" i="24" s="1"/>
  <c r="Z99" i="41"/>
  <c r="AI99" i="41" s="1"/>
  <c r="AB88" i="10"/>
  <c r="AK88" i="10" s="1"/>
  <c r="Z88" i="10"/>
  <c r="AI88" i="10" s="1"/>
  <c r="Z85" i="20"/>
  <c r="AI85" i="20" s="1"/>
  <c r="Z99" i="40"/>
  <c r="AI99" i="40" s="1"/>
  <c r="Y92" i="41"/>
  <c r="AH92" i="41" s="1"/>
  <c r="AA85" i="20"/>
  <c r="AJ85" i="20" s="1"/>
  <c r="X99" i="41"/>
  <c r="AG99" i="41" s="1"/>
  <c r="AJ100" i="24" l="1"/>
  <c r="AW100" i="24"/>
  <c r="AJ100" i="40"/>
  <c r="AW100" i="40"/>
  <c r="AH97" i="24"/>
  <c r="Y98" i="24"/>
  <c r="AG97" i="24"/>
  <c r="X98" i="24"/>
  <c r="AA101" i="24"/>
  <c r="AJ101" i="24" s="1"/>
  <c r="AJ87" i="10"/>
  <c r="AA88" i="10"/>
  <c r="AK88" i="20"/>
  <c r="AB89" i="20"/>
  <c r="AL86" i="10"/>
  <c r="AC87" i="10"/>
  <c r="AA101" i="40"/>
  <c r="AJ101" i="40" s="1"/>
  <c r="AA94" i="41"/>
  <c r="AJ94" i="41" s="1"/>
  <c r="AC87" i="20"/>
  <c r="AL87" i="20" s="1"/>
  <c r="Y93" i="41"/>
  <c r="AH93" i="41" s="1"/>
  <c r="Z100" i="40"/>
  <c r="AI100" i="40" s="1"/>
  <c r="Z100" i="41"/>
  <c r="AI100" i="41" s="1"/>
  <c r="Z86" i="20"/>
  <c r="AI86" i="20" s="1"/>
  <c r="Z100" i="24"/>
  <c r="AI100" i="24" s="1"/>
  <c r="Z89" i="10"/>
  <c r="AI89" i="10" s="1"/>
  <c r="X100" i="41"/>
  <c r="AG100" i="41" s="1"/>
  <c r="Y100" i="40"/>
  <c r="AF4" i="40" s="1"/>
  <c r="AB89" i="10"/>
  <c r="AK89" i="10" s="1"/>
  <c r="X100" i="40"/>
  <c r="AG100" i="40" s="1"/>
  <c r="AA86" i="20"/>
  <c r="AJ86" i="20" s="1"/>
  <c r="AG98" i="24" l="1"/>
  <c r="X99" i="24"/>
  <c r="AH98" i="24"/>
  <c r="Y99" i="24"/>
  <c r="AA102" i="24"/>
  <c r="AJ102" i="24" s="1"/>
  <c r="AH100" i="40"/>
  <c r="AJ88" i="10"/>
  <c r="AA89" i="10"/>
  <c r="AK89" i="20"/>
  <c r="AB90" i="20"/>
  <c r="AL87" i="10"/>
  <c r="AC88" i="10"/>
  <c r="AC88" i="20"/>
  <c r="AL88" i="20" s="1"/>
  <c r="AA95" i="41"/>
  <c r="AJ95" i="41" s="1"/>
  <c r="AA102" i="40"/>
  <c r="AJ102" i="40" s="1"/>
  <c r="AA87" i="20"/>
  <c r="AJ87" i="20" s="1"/>
  <c r="X101" i="40"/>
  <c r="AG101" i="40" s="1"/>
  <c r="AB90" i="10"/>
  <c r="AK90" i="10" s="1"/>
  <c r="Y101" i="40"/>
  <c r="AH101" i="40" s="1"/>
  <c r="Z90" i="10"/>
  <c r="AI90" i="10" s="1"/>
  <c r="X101" i="41"/>
  <c r="AG101" i="41" s="1"/>
  <c r="Z101" i="41"/>
  <c r="AI101" i="41" s="1"/>
  <c r="Z101" i="24"/>
  <c r="AI101" i="24" s="1"/>
  <c r="Z101" i="40"/>
  <c r="AI101" i="40" s="1"/>
  <c r="Z87" i="20"/>
  <c r="AI87" i="20" s="1"/>
  <c r="Y94" i="41"/>
  <c r="AH94" i="41" s="1"/>
  <c r="AH99" i="24" l="1"/>
  <c r="Y100" i="24"/>
  <c r="AG99" i="24"/>
  <c r="X100" i="24"/>
  <c r="AA103" i="24"/>
  <c r="AJ103" i="24" s="1"/>
  <c r="AJ89" i="10"/>
  <c r="AA90" i="10"/>
  <c r="AK90" i="20"/>
  <c r="AB91" i="20"/>
  <c r="AL88" i="10"/>
  <c r="AC89" i="10"/>
  <c r="AA103" i="40"/>
  <c r="AJ103" i="40" s="1"/>
  <c r="AA96" i="41"/>
  <c r="AJ96" i="41" s="1"/>
  <c r="AC89" i="20"/>
  <c r="AL89" i="20" s="1"/>
  <c r="Z102" i="40"/>
  <c r="AI102" i="40" s="1"/>
  <c r="Z91" i="10"/>
  <c r="AI91" i="10" s="1"/>
  <c r="Y95" i="41"/>
  <c r="AH95" i="41" s="1"/>
  <c r="Y102" i="40"/>
  <c r="AH102" i="40" s="1"/>
  <c r="Z102" i="24"/>
  <c r="AI102" i="24" s="1"/>
  <c r="X102" i="40"/>
  <c r="AG102" i="40" s="1"/>
  <c r="Z88" i="20"/>
  <c r="AI88" i="20" s="1"/>
  <c r="Z102" i="41"/>
  <c r="AI102" i="41" s="1"/>
  <c r="X102" i="41"/>
  <c r="AG102" i="41" s="1"/>
  <c r="AA88" i="20"/>
  <c r="AJ88" i="20" s="1"/>
  <c r="AB91" i="10"/>
  <c r="AK91" i="10" s="1"/>
  <c r="AG100" i="24" l="1"/>
  <c r="X101" i="24"/>
  <c r="AF4" i="24"/>
  <c r="Y101" i="24"/>
  <c r="AH100" i="24"/>
  <c r="AA104" i="24"/>
  <c r="AJ104" i="24" s="1"/>
  <c r="AJ90" i="10"/>
  <c r="AA91" i="10"/>
  <c r="AK91" i="20"/>
  <c r="AB92" i="20"/>
  <c r="AL89" i="10"/>
  <c r="AC90" i="10"/>
  <c r="AC90" i="20"/>
  <c r="AL90" i="20" s="1"/>
  <c r="AA97" i="41"/>
  <c r="AJ97" i="41" s="1"/>
  <c r="AA104" i="40"/>
  <c r="AJ104" i="40" s="1"/>
  <c r="AB92" i="10"/>
  <c r="AK92" i="10" s="1"/>
  <c r="Z103" i="41"/>
  <c r="AI103" i="41" s="1"/>
  <c r="Z103" i="24"/>
  <c r="AI103" i="24" s="1"/>
  <c r="AA89" i="20"/>
  <c r="AJ89" i="20" s="1"/>
  <c r="Y103" i="40"/>
  <c r="AH103" i="40" s="1"/>
  <c r="Z89" i="20"/>
  <c r="AI89" i="20" s="1"/>
  <c r="Y96" i="41"/>
  <c r="AH96" i="41" s="1"/>
  <c r="X103" i="40"/>
  <c r="AG103" i="40" s="1"/>
  <c r="Z92" i="10"/>
  <c r="AI92" i="10" s="1"/>
  <c r="X103" i="41"/>
  <c r="AG103" i="41" s="1"/>
  <c r="Z103" i="40"/>
  <c r="AI103" i="40" s="1"/>
  <c r="AH101" i="24" l="1"/>
  <c r="Y102" i="24"/>
  <c r="AG101" i="24"/>
  <c r="X102" i="24"/>
  <c r="AA105" i="24"/>
  <c r="AW105" i="24" s="1"/>
  <c r="AW11" i="24" s="1"/>
  <c r="AJ91" i="10"/>
  <c r="AA92" i="10"/>
  <c r="AK92" i="20"/>
  <c r="AB93" i="20"/>
  <c r="AL90" i="10"/>
  <c r="AC91" i="10"/>
  <c r="AA105" i="40"/>
  <c r="AW105" i="40" s="1"/>
  <c r="AA98" i="41"/>
  <c r="AJ98" i="41" s="1"/>
  <c r="AC91" i="20"/>
  <c r="AL91" i="20" s="1"/>
  <c r="Z90" i="20"/>
  <c r="AI90" i="20" s="1"/>
  <c r="Z93" i="10"/>
  <c r="AI93" i="10" s="1"/>
  <c r="X104" i="40"/>
  <c r="AG104" i="40" s="1"/>
  <c r="Y104" i="40"/>
  <c r="AH104" i="40" s="1"/>
  <c r="AA90" i="20"/>
  <c r="AJ90" i="20" s="1"/>
  <c r="AB93" i="10"/>
  <c r="AK93" i="10" s="1"/>
  <c r="Z104" i="24"/>
  <c r="AI104" i="24" s="1"/>
  <c r="Z104" i="40"/>
  <c r="AI104" i="40" s="1"/>
  <c r="Z104" i="41"/>
  <c r="AI104" i="41" s="1"/>
  <c r="X104" i="41"/>
  <c r="AG104" i="41" s="1"/>
  <c r="Y97" i="41"/>
  <c r="AH97" i="41" s="1"/>
  <c r="AJ105" i="24" l="1"/>
  <c r="AG102" i="24"/>
  <c r="X103" i="24"/>
  <c r="AA106" i="24"/>
  <c r="AJ106" i="24" s="1"/>
  <c r="AH102" i="24"/>
  <c r="Y103" i="24"/>
  <c r="AJ92" i="10"/>
  <c r="AA93" i="10"/>
  <c r="AW11" i="40"/>
  <c r="AJ105" i="40"/>
  <c r="AK93" i="20"/>
  <c r="AB94" i="20"/>
  <c r="AL91" i="10"/>
  <c r="AC92" i="10"/>
  <c r="AC92" i="20"/>
  <c r="AL92" i="20" s="1"/>
  <c r="AA99" i="41"/>
  <c r="AJ99" i="41" s="1"/>
  <c r="AA106" i="40"/>
  <c r="AJ106" i="40" s="1"/>
  <c r="Z94" i="10"/>
  <c r="AI94" i="10" s="1"/>
  <c r="Y98" i="41"/>
  <c r="AH98" i="41" s="1"/>
  <c r="Z105" i="24"/>
  <c r="AV105" i="24" s="1"/>
  <c r="X105" i="41"/>
  <c r="AE4" i="41" s="1"/>
  <c r="AB94" i="10"/>
  <c r="AK94" i="10" s="1"/>
  <c r="AA91" i="20"/>
  <c r="AJ91" i="20" s="1"/>
  <c r="Z91" i="20"/>
  <c r="AI91" i="20" s="1"/>
  <c r="Z105" i="41"/>
  <c r="AV105" i="41" s="1"/>
  <c r="Y105" i="40"/>
  <c r="AH105" i="40" s="1"/>
  <c r="Z105" i="40"/>
  <c r="AV105" i="40" s="1"/>
  <c r="X105" i="40"/>
  <c r="AE4" i="40" s="1"/>
  <c r="AA107" i="24" l="1"/>
  <c r="AJ107" i="24" s="1"/>
  <c r="AH103" i="24"/>
  <c r="Y104" i="24"/>
  <c r="AG103" i="24"/>
  <c r="X104" i="24"/>
  <c r="AG105" i="40"/>
  <c r="AG105" i="41"/>
  <c r="AJ93" i="10"/>
  <c r="AA94" i="10"/>
  <c r="AV11" i="40"/>
  <c r="AI105" i="40"/>
  <c r="AV11" i="41"/>
  <c r="AI105" i="41"/>
  <c r="AK94" i="20"/>
  <c r="AB95" i="20"/>
  <c r="AV11" i="24"/>
  <c r="AI105" i="24"/>
  <c r="AL92" i="10"/>
  <c r="AC93" i="10"/>
  <c r="AA107" i="40"/>
  <c r="AJ107" i="40" s="1"/>
  <c r="AA108" i="24"/>
  <c r="AJ108" i="24" s="1"/>
  <c r="AA100" i="41"/>
  <c r="AC93" i="20"/>
  <c r="AL93" i="20" s="1"/>
  <c r="X106" i="41"/>
  <c r="AG106" i="41" s="1"/>
  <c r="Z106" i="24"/>
  <c r="AI106" i="24" s="1"/>
  <c r="X106" i="40"/>
  <c r="AG106" i="40" s="1"/>
  <c r="Z106" i="40"/>
  <c r="AI106" i="40" s="1"/>
  <c r="Z92" i="20"/>
  <c r="AI92" i="20" s="1"/>
  <c r="Y99" i="41"/>
  <c r="AH99" i="41" s="1"/>
  <c r="AA92" i="20"/>
  <c r="AJ92" i="20" s="1"/>
  <c r="Z95" i="10"/>
  <c r="AI95" i="10" s="1"/>
  <c r="Y106" i="40"/>
  <c r="AH106" i="40" s="1"/>
  <c r="Z106" i="41"/>
  <c r="AI106" i="41" s="1"/>
  <c r="AB95" i="10"/>
  <c r="AK95" i="10" s="1"/>
  <c r="AJ100" i="41" l="1"/>
  <c r="AW100" i="41"/>
  <c r="AG104" i="24"/>
  <c r="X105" i="24"/>
  <c r="AG105" i="24" s="1"/>
  <c r="AH104" i="24"/>
  <c r="Y105" i="24"/>
  <c r="AJ94" i="10"/>
  <c r="AA95" i="10"/>
  <c r="AK95" i="20"/>
  <c r="AB96" i="20"/>
  <c r="AL93" i="10"/>
  <c r="AC94" i="10"/>
  <c r="AC94" i="20"/>
  <c r="AL94" i="20" s="1"/>
  <c r="AA101" i="41"/>
  <c r="AJ101" i="41" s="1"/>
  <c r="AA109" i="24"/>
  <c r="AJ109" i="24" s="1"/>
  <c r="AA108" i="40"/>
  <c r="AJ108" i="40" s="1"/>
  <c r="Y100" i="41"/>
  <c r="AF4" i="41" s="1"/>
  <c r="AB96" i="10"/>
  <c r="AK96" i="10" s="1"/>
  <c r="Y107" i="40"/>
  <c r="AH107" i="40" s="1"/>
  <c r="Z107" i="41"/>
  <c r="AI107" i="41" s="1"/>
  <c r="Z93" i="20"/>
  <c r="AI93" i="20" s="1"/>
  <c r="Z107" i="40"/>
  <c r="AI107" i="40" s="1"/>
  <c r="X107" i="40"/>
  <c r="AG107" i="40" s="1"/>
  <c r="Z96" i="10"/>
  <c r="AI96" i="10" s="1"/>
  <c r="Z107" i="24"/>
  <c r="AI107" i="24" s="1"/>
  <c r="AA93" i="20"/>
  <c r="AJ93" i="20" s="1"/>
  <c r="X107" i="41"/>
  <c r="AG107" i="41" s="1"/>
  <c r="AH105" i="24" l="1"/>
  <c r="Y106" i="24"/>
  <c r="AE4" i="24"/>
  <c r="X106" i="24"/>
  <c r="AH100" i="41"/>
  <c r="AJ95" i="10"/>
  <c r="AA96" i="10"/>
  <c r="AK96" i="20"/>
  <c r="AB97" i="20"/>
  <c r="AL94" i="10"/>
  <c r="AC95" i="10"/>
  <c r="AA109" i="40"/>
  <c r="AJ109" i="40" s="1"/>
  <c r="AA110" i="24"/>
  <c r="AJ110" i="24" s="1"/>
  <c r="AA102" i="41"/>
  <c r="AJ102" i="41" s="1"/>
  <c r="AC95" i="20"/>
  <c r="AL95" i="20" s="1"/>
  <c r="Z97" i="10"/>
  <c r="AI97" i="10" s="1"/>
  <c r="Z108" i="40"/>
  <c r="AI108" i="40" s="1"/>
  <c r="Y101" i="41"/>
  <c r="AH101" i="41" s="1"/>
  <c r="X108" i="41"/>
  <c r="AG108" i="41" s="1"/>
  <c r="Z94" i="20"/>
  <c r="AI94" i="20" s="1"/>
  <c r="Z108" i="41"/>
  <c r="AI108" i="41" s="1"/>
  <c r="AA94" i="20"/>
  <c r="AJ94" i="20" s="1"/>
  <c r="X108" i="40"/>
  <c r="AG108" i="40" s="1"/>
  <c r="Y108" i="40"/>
  <c r="AH108" i="40" s="1"/>
  <c r="Z108" i="24"/>
  <c r="AI108" i="24" s="1"/>
  <c r="AB97" i="10"/>
  <c r="AK97" i="10" s="1"/>
  <c r="AG106" i="24" l="1"/>
  <c r="X107" i="24"/>
  <c r="AH106" i="24"/>
  <c r="Y107" i="24"/>
  <c r="AJ96" i="10"/>
  <c r="AA97" i="10"/>
  <c r="AK97" i="20"/>
  <c r="AB98" i="20"/>
  <c r="AL95" i="10"/>
  <c r="AC96" i="10"/>
  <c r="AC96" i="20"/>
  <c r="AL96" i="20" s="1"/>
  <c r="AA103" i="41"/>
  <c r="AJ103" i="41" s="1"/>
  <c r="AA111" i="24"/>
  <c r="AJ111" i="24" s="1"/>
  <c r="AA110" i="40"/>
  <c r="AJ110" i="40" s="1"/>
  <c r="Y109" i="40"/>
  <c r="AH109" i="40" s="1"/>
  <c r="X109" i="40"/>
  <c r="AG109" i="40" s="1"/>
  <c r="Y102" i="41"/>
  <c r="AH102" i="41" s="1"/>
  <c r="Z109" i="40"/>
  <c r="AI109" i="40" s="1"/>
  <c r="Z95" i="20"/>
  <c r="AI95" i="20" s="1"/>
  <c r="AB98" i="10"/>
  <c r="AK98" i="10" s="1"/>
  <c r="Z98" i="10"/>
  <c r="AI98" i="10" s="1"/>
  <c r="AA95" i="20"/>
  <c r="AJ95" i="20" s="1"/>
  <c r="Z109" i="41"/>
  <c r="AI109" i="41" s="1"/>
  <c r="Z109" i="24"/>
  <c r="AI109" i="24" s="1"/>
  <c r="X109" i="41"/>
  <c r="AG109" i="41" s="1"/>
  <c r="AH107" i="24" l="1"/>
  <c r="Y108" i="24"/>
  <c r="AG107" i="24"/>
  <c r="X108" i="24"/>
  <c r="AJ97" i="10"/>
  <c r="AA98" i="10"/>
  <c r="AK98" i="20"/>
  <c r="AB99" i="20"/>
  <c r="AL96" i="10"/>
  <c r="AC97" i="10"/>
  <c r="AA111" i="40"/>
  <c r="AJ111" i="40" s="1"/>
  <c r="AA112" i="24"/>
  <c r="AJ112" i="24" s="1"/>
  <c r="AA104" i="41"/>
  <c r="AJ104" i="41" s="1"/>
  <c r="AC97" i="20"/>
  <c r="AL97" i="20" s="1"/>
  <c r="Y103" i="41"/>
  <c r="AH103" i="41" s="1"/>
  <c r="AA96" i="20"/>
  <c r="AJ96" i="20" s="1"/>
  <c r="X110" i="41"/>
  <c r="AG110" i="41" s="1"/>
  <c r="Z99" i="10"/>
  <c r="AI99" i="10" s="1"/>
  <c r="Z110" i="24"/>
  <c r="AI110" i="24" s="1"/>
  <c r="AB99" i="10"/>
  <c r="AK99" i="10" s="1"/>
  <c r="X110" i="40"/>
  <c r="AG110" i="40" s="1"/>
  <c r="Z96" i="20"/>
  <c r="AI96" i="20" s="1"/>
  <c r="Z110" i="41"/>
  <c r="AI110" i="41" s="1"/>
  <c r="Y110" i="40"/>
  <c r="AH110" i="40" s="1"/>
  <c r="Z110" i="40"/>
  <c r="AI110" i="40" s="1"/>
  <c r="AG108" i="24" l="1"/>
  <c r="X109" i="24"/>
  <c r="AH108" i="24"/>
  <c r="Y109" i="24"/>
  <c r="AJ98" i="10"/>
  <c r="AA99" i="10"/>
  <c r="AK99" i="20"/>
  <c r="AB100" i="20"/>
  <c r="AL97" i="10"/>
  <c r="AC98" i="10"/>
  <c r="AC98" i="20"/>
  <c r="AL98" i="20" s="1"/>
  <c r="AA105" i="41"/>
  <c r="AW105" i="41" s="1"/>
  <c r="AA113" i="24"/>
  <c r="AJ113" i="24" s="1"/>
  <c r="AA112" i="40"/>
  <c r="AJ112" i="40" s="1"/>
  <c r="X111" i="40"/>
  <c r="AG111" i="40" s="1"/>
  <c r="Y111" i="40"/>
  <c r="AH111" i="40" s="1"/>
  <c r="Z100" i="10"/>
  <c r="AI100" i="10" s="1"/>
  <c r="X111" i="41"/>
  <c r="AG111" i="41" s="1"/>
  <c r="AB100" i="10"/>
  <c r="AA97" i="20"/>
  <c r="AJ97" i="20" s="1"/>
  <c r="Y104" i="41"/>
  <c r="AH104" i="41" s="1"/>
  <c r="Z111" i="41"/>
  <c r="AI111" i="41" s="1"/>
  <c r="Z111" i="40"/>
  <c r="AI111" i="40" s="1"/>
  <c r="Z97" i="20"/>
  <c r="AI97" i="20" s="1"/>
  <c r="Z111" i="24"/>
  <c r="AI111" i="24" s="1"/>
  <c r="AH109" i="24" l="1"/>
  <c r="Y110" i="24"/>
  <c r="AG109" i="24"/>
  <c r="X110" i="24"/>
  <c r="AJ99" i="10"/>
  <c r="AA100" i="10"/>
  <c r="AF4" i="10" s="1"/>
  <c r="AW11" i="41"/>
  <c r="AJ105" i="41"/>
  <c r="AK100" i="20"/>
  <c r="AB101" i="20"/>
  <c r="AL98" i="10"/>
  <c r="AC99" i="10"/>
  <c r="AB101" i="10"/>
  <c r="AK101" i="10" s="1"/>
  <c r="AK100" i="10"/>
  <c r="AA113" i="40"/>
  <c r="AJ113" i="40" s="1"/>
  <c r="AA114" i="24"/>
  <c r="AJ114" i="24" s="1"/>
  <c r="AA106" i="41"/>
  <c r="AJ106" i="41" s="1"/>
  <c r="AC99" i="20"/>
  <c r="AL99" i="20" s="1"/>
  <c r="AA98" i="20"/>
  <c r="AJ98" i="20" s="1"/>
  <c r="Z112" i="24"/>
  <c r="AI112" i="24" s="1"/>
  <c r="Z98" i="20"/>
  <c r="AI98" i="20" s="1"/>
  <c r="Z112" i="41"/>
  <c r="AI112" i="41" s="1"/>
  <c r="X112" i="41"/>
  <c r="AG112" i="41" s="1"/>
  <c r="Z112" i="40"/>
  <c r="AI112" i="40" s="1"/>
  <c r="Y105" i="41"/>
  <c r="AH105" i="41" s="1"/>
  <c r="Z101" i="10"/>
  <c r="AI101" i="10" s="1"/>
  <c r="Y112" i="40"/>
  <c r="AH112" i="40" s="1"/>
  <c r="X112" i="40"/>
  <c r="AG112" i="40" s="1"/>
  <c r="D18" i="7" l="1"/>
  <c r="D8" i="7" s="1"/>
  <c r="AG110" i="24"/>
  <c r="X111" i="24"/>
  <c r="AH110" i="24"/>
  <c r="Y111" i="24"/>
  <c r="AB102" i="10"/>
  <c r="AK102" i="10" s="1"/>
  <c r="AA101" i="10"/>
  <c r="AJ100" i="10"/>
  <c r="AK101" i="20"/>
  <c r="AB102" i="20"/>
  <c r="AL99" i="10"/>
  <c r="AC100" i="10"/>
  <c r="AC100" i="20"/>
  <c r="AA107" i="41"/>
  <c r="AJ107" i="41" s="1"/>
  <c r="AA115" i="24"/>
  <c r="AJ115" i="24" s="1"/>
  <c r="AA114" i="40"/>
  <c r="AJ114" i="40" s="1"/>
  <c r="Z102" i="10"/>
  <c r="AI102" i="10" s="1"/>
  <c r="Z113" i="24"/>
  <c r="AI113" i="24" s="1"/>
  <c r="Y106" i="41"/>
  <c r="AH106" i="41" s="1"/>
  <c r="Z113" i="40"/>
  <c r="AI113" i="40" s="1"/>
  <c r="X113" i="41"/>
  <c r="AG113" i="41" s="1"/>
  <c r="Z113" i="41"/>
  <c r="AI113" i="41" s="1"/>
  <c r="Y113" i="40"/>
  <c r="AH113" i="40" s="1"/>
  <c r="X113" i="40"/>
  <c r="AG113" i="40" s="1"/>
  <c r="AA99" i="20"/>
  <c r="AJ99" i="20" s="1"/>
  <c r="Z99" i="20"/>
  <c r="AI99" i="20" s="1"/>
  <c r="AH111" i="24" l="1"/>
  <c r="Y112" i="24"/>
  <c r="AG111" i="24"/>
  <c r="X112" i="24"/>
  <c r="AB103" i="10"/>
  <c r="AK103" i="10" s="1"/>
  <c r="AL100" i="20"/>
  <c r="AF5" i="20"/>
  <c r="AF5" i="10"/>
  <c r="AC101" i="10"/>
  <c r="AJ101" i="10"/>
  <c r="AA102" i="10"/>
  <c r="AK102" i="20"/>
  <c r="AB103" i="20"/>
  <c r="AL100" i="10"/>
  <c r="AA115" i="40"/>
  <c r="AJ115" i="40" s="1"/>
  <c r="AA116" i="24"/>
  <c r="AJ116" i="24" s="1"/>
  <c r="AA108" i="41"/>
  <c r="AJ108" i="41" s="1"/>
  <c r="AC101" i="20"/>
  <c r="AL101" i="20" s="1"/>
  <c r="Z114" i="40"/>
  <c r="AI114" i="40" s="1"/>
  <c r="Y107" i="41"/>
  <c r="AH107" i="41" s="1"/>
  <c r="Y114" i="40"/>
  <c r="AH114" i="40" s="1"/>
  <c r="Z114" i="24"/>
  <c r="AI114" i="24" s="1"/>
  <c r="Z114" i="41"/>
  <c r="AI114" i="41" s="1"/>
  <c r="AA100" i="20"/>
  <c r="Z103" i="10"/>
  <c r="AI103" i="10" s="1"/>
  <c r="X114" i="40"/>
  <c r="AG114" i="40" s="1"/>
  <c r="X114" i="41"/>
  <c r="AG114" i="41" s="1"/>
  <c r="Z100" i="20"/>
  <c r="AI100" i="20" s="1"/>
  <c r="F18" i="7" a="1"/>
  <c r="H18" i="7" a="1"/>
  <c r="F18" i="7" l="1"/>
  <c r="H18" i="7"/>
  <c r="AF6" i="10"/>
  <c r="AB104" i="10"/>
  <c r="AK104" i="10" s="1"/>
  <c r="AG112" i="24"/>
  <c r="X113" i="24"/>
  <c r="AH112" i="24"/>
  <c r="Y113" i="24"/>
  <c r="AJ100" i="20"/>
  <c r="AF4" i="20"/>
  <c r="AF6" i="20" s="1"/>
  <c r="AL101" i="10"/>
  <c r="AC102" i="10"/>
  <c r="AJ102" i="10"/>
  <c r="AA103" i="10"/>
  <c r="AK103" i="20"/>
  <c r="AB104" i="20"/>
  <c r="AB105" i="10"/>
  <c r="AC102" i="20"/>
  <c r="AL102" i="20" s="1"/>
  <c r="AA109" i="41"/>
  <c r="AJ109" i="41" s="1"/>
  <c r="AA117" i="24"/>
  <c r="AJ117" i="24" s="1"/>
  <c r="AA116" i="40"/>
  <c r="AJ116" i="40" s="1"/>
  <c r="Z101" i="20"/>
  <c r="AI101" i="20" s="1"/>
  <c r="Z104" i="10"/>
  <c r="AI104" i="10" s="1"/>
  <c r="Z115" i="24"/>
  <c r="AI115" i="24" s="1"/>
  <c r="X115" i="41"/>
  <c r="AG115" i="41" s="1"/>
  <c r="Y115" i="40"/>
  <c r="AH115" i="40" s="1"/>
  <c r="X115" i="40"/>
  <c r="AG115" i="40" s="1"/>
  <c r="Y108" i="41"/>
  <c r="AH108" i="41" s="1"/>
  <c r="AA101" i="20"/>
  <c r="AJ101" i="20" s="1"/>
  <c r="Z115" i="40"/>
  <c r="AI115" i="40" s="1"/>
  <c r="Z115" i="41"/>
  <c r="AI115" i="41" s="1"/>
  <c r="AH113" i="24" l="1"/>
  <c r="Y114" i="24"/>
  <c r="AG113" i="24"/>
  <c r="X114" i="24"/>
  <c r="H9" i="7"/>
  <c r="AK105" i="10"/>
  <c r="AE5" i="10"/>
  <c r="AL102" i="10"/>
  <c r="AC103" i="10"/>
  <c r="AJ103" i="10"/>
  <c r="AA104" i="10"/>
  <c r="AK104" i="20"/>
  <c r="AB105" i="20"/>
  <c r="AE5" i="20" s="1"/>
  <c r="AA117" i="40"/>
  <c r="AJ117" i="40" s="1"/>
  <c r="AA118" i="24"/>
  <c r="AJ118" i="24" s="1"/>
  <c r="AA110" i="41"/>
  <c r="AJ110" i="41" s="1"/>
  <c r="AC103" i="20"/>
  <c r="AL103" i="20" s="1"/>
  <c r="Y109" i="41"/>
  <c r="AH109" i="41" s="1"/>
  <c r="X116" i="40"/>
  <c r="AG116" i="40" s="1"/>
  <c r="Z116" i="41"/>
  <c r="AI116" i="41" s="1"/>
  <c r="Y116" i="40"/>
  <c r="AH116" i="40" s="1"/>
  <c r="Z116" i="24"/>
  <c r="AI116" i="24" s="1"/>
  <c r="Z105" i="10"/>
  <c r="AE4" i="10" s="1"/>
  <c r="C18" i="7" s="1"/>
  <c r="Z116" i="40"/>
  <c r="AI116" i="40" s="1"/>
  <c r="AA102" i="20"/>
  <c r="AJ102" i="20" s="1"/>
  <c r="Z102" i="20"/>
  <c r="AI102" i="20" s="1"/>
  <c r="X116" i="41"/>
  <c r="AG116" i="41" s="1"/>
  <c r="E18" i="7" a="1"/>
  <c r="G18" i="7" a="1"/>
  <c r="G18" i="7" l="1"/>
  <c r="E18" i="7"/>
  <c r="AG114" i="24"/>
  <c r="X115" i="24"/>
  <c r="AH114" i="24"/>
  <c r="Y115" i="24"/>
  <c r="AL103" i="10"/>
  <c r="AC104" i="10"/>
  <c r="AJ104" i="10"/>
  <c r="AA105" i="10"/>
  <c r="AK105" i="20"/>
  <c r="AB106" i="20"/>
  <c r="C8" i="7"/>
  <c r="AI105" i="10"/>
  <c r="AK11" i="10"/>
  <c r="BB3" i="10" s="1"/>
  <c r="AC104" i="20"/>
  <c r="AL104" i="20" s="1"/>
  <c r="AA111" i="41"/>
  <c r="AJ111" i="41" s="1"/>
  <c r="AA119" i="24"/>
  <c r="AJ119" i="24" s="1"/>
  <c r="AA118" i="40"/>
  <c r="AJ118" i="40" s="1"/>
  <c r="Z106" i="10"/>
  <c r="AI106" i="10" s="1"/>
  <c r="Z117" i="24"/>
  <c r="AI117" i="24" s="1"/>
  <c r="X117" i="40"/>
  <c r="AG117" i="40" s="1"/>
  <c r="X117" i="41"/>
  <c r="AG117" i="41" s="1"/>
  <c r="Y117" i="40"/>
  <c r="AH117" i="40" s="1"/>
  <c r="Z103" i="20"/>
  <c r="AI103" i="20" s="1"/>
  <c r="Z117" i="41"/>
  <c r="AI117" i="41" s="1"/>
  <c r="AA103" i="20"/>
  <c r="AJ103" i="20" s="1"/>
  <c r="Y110" i="41"/>
  <c r="AH110" i="41" s="1"/>
  <c r="Z117" i="40"/>
  <c r="AI117" i="40" s="1"/>
  <c r="AH115" i="24" l="1"/>
  <c r="Y116" i="24"/>
  <c r="AG115" i="24"/>
  <c r="X116" i="24"/>
  <c r="AL104" i="10"/>
  <c r="AC105" i="10"/>
  <c r="AL105" i="10" s="1"/>
  <c r="AJ105" i="10"/>
  <c r="AA106" i="10"/>
  <c r="AK106" i="20"/>
  <c r="AB107" i="20"/>
  <c r="AE6" i="10"/>
  <c r="AA119" i="40"/>
  <c r="AJ119" i="40" s="1"/>
  <c r="AA120" i="24"/>
  <c r="AJ120" i="24" s="1"/>
  <c r="AA112" i="41"/>
  <c r="AJ112" i="41" s="1"/>
  <c r="AC105" i="20"/>
  <c r="AL105" i="20" s="1"/>
  <c r="Y111" i="41"/>
  <c r="AH111" i="41" s="1"/>
  <c r="X118" i="40"/>
  <c r="AG118" i="40" s="1"/>
  <c r="Z118" i="41"/>
  <c r="AI118" i="41" s="1"/>
  <c r="Z118" i="24"/>
  <c r="AI118" i="24" s="1"/>
  <c r="AA104" i="20"/>
  <c r="AJ104" i="20" s="1"/>
  <c r="X118" i="41"/>
  <c r="AG118" i="41" s="1"/>
  <c r="Z104" i="20"/>
  <c r="AI104" i="20" s="1"/>
  <c r="Z107" i="10"/>
  <c r="AI107" i="10" s="1"/>
  <c r="Z118" i="40"/>
  <c r="AI118" i="40" s="1"/>
  <c r="Y118" i="40"/>
  <c r="AH118" i="40" s="1"/>
  <c r="AG116" i="24" l="1"/>
  <c r="X117" i="24"/>
  <c r="AH116" i="24"/>
  <c r="Y117" i="24"/>
  <c r="AL11" i="10"/>
  <c r="BC3" i="10" s="1"/>
  <c r="AJ106" i="10"/>
  <c r="AA107" i="10"/>
  <c r="E9" i="7"/>
  <c r="AK107" i="20"/>
  <c r="AB108" i="20"/>
  <c r="AC106" i="20"/>
  <c r="AL106" i="20" s="1"/>
  <c r="AA113" i="41"/>
  <c r="AJ113" i="41" s="1"/>
  <c r="AA121" i="24"/>
  <c r="AJ121" i="24" s="1"/>
  <c r="AA120" i="40"/>
  <c r="AJ120" i="40" s="1"/>
  <c r="Z119" i="41"/>
  <c r="AI119" i="41" s="1"/>
  <c r="Z119" i="40"/>
  <c r="AI119" i="40" s="1"/>
  <c r="Z119" i="24"/>
  <c r="AI119" i="24" s="1"/>
  <c r="Z108" i="10"/>
  <c r="AI108" i="10" s="1"/>
  <c r="X119" i="40"/>
  <c r="AG119" i="40" s="1"/>
  <c r="Z105" i="20"/>
  <c r="Y112" i="41"/>
  <c r="AH112" i="41" s="1"/>
  <c r="X119" i="41"/>
  <c r="AG119" i="41" s="1"/>
  <c r="Y119" i="40"/>
  <c r="AH119" i="40" s="1"/>
  <c r="AA105" i="20"/>
  <c r="AJ105" i="20" s="1"/>
  <c r="AH117" i="24" l="1"/>
  <c r="Y118" i="24"/>
  <c r="AG117" i="24"/>
  <c r="X118" i="24"/>
  <c r="BC5" i="10"/>
  <c r="AI105" i="20"/>
  <c r="AE4" i="20"/>
  <c r="AE6" i="20" s="1"/>
  <c r="AJ107" i="10"/>
  <c r="AA108" i="10"/>
  <c r="AK108" i="20"/>
  <c r="AB109" i="20"/>
  <c r="AA121" i="40"/>
  <c r="AJ121" i="40" s="1"/>
  <c r="AA122" i="24"/>
  <c r="AJ122" i="24" s="1"/>
  <c r="AA114" i="41"/>
  <c r="AJ114" i="41" s="1"/>
  <c r="AC107" i="20"/>
  <c r="AL107" i="20" s="1"/>
  <c r="Z120" i="41"/>
  <c r="AI120" i="41" s="1"/>
  <c r="Z106" i="20"/>
  <c r="AI106" i="20" s="1"/>
  <c r="X120" i="40"/>
  <c r="AG120" i="40" s="1"/>
  <c r="Y120" i="40"/>
  <c r="AH120" i="40" s="1"/>
  <c r="Z109" i="10"/>
  <c r="AI109" i="10" s="1"/>
  <c r="X120" i="41"/>
  <c r="AG120" i="41" s="1"/>
  <c r="AA106" i="20"/>
  <c r="AJ106" i="20" s="1"/>
  <c r="Z120" i="24"/>
  <c r="AI120" i="24" s="1"/>
  <c r="Y113" i="41"/>
  <c r="AH113" i="41" s="1"/>
  <c r="Z120" i="40"/>
  <c r="AI120" i="40" s="1"/>
  <c r="F7" i="7" a="1"/>
  <c r="F7" i="7" l="1"/>
  <c r="AG118" i="24"/>
  <c r="X119" i="24"/>
  <c r="AH118" i="24"/>
  <c r="Y119" i="24"/>
  <c r="F9" i="7"/>
  <c r="G9" i="7"/>
  <c r="AJ108" i="10"/>
  <c r="AA109" i="10"/>
  <c r="AK109" i="20"/>
  <c r="AB110" i="20"/>
  <c r="AC108" i="20"/>
  <c r="AL108" i="20" s="1"/>
  <c r="AA115" i="41"/>
  <c r="AJ115" i="41" s="1"/>
  <c r="AA123" i="24"/>
  <c r="AJ123" i="24" s="1"/>
  <c r="AA122" i="40"/>
  <c r="AJ122" i="40" s="1"/>
  <c r="X121" i="40"/>
  <c r="AG121" i="40" s="1"/>
  <c r="X121" i="41"/>
  <c r="AG121" i="41" s="1"/>
  <c r="Z121" i="40"/>
  <c r="AI121" i="40" s="1"/>
  <c r="Z107" i="20"/>
  <c r="AI107" i="20" s="1"/>
  <c r="Z110" i="10"/>
  <c r="AI110" i="10" s="1"/>
  <c r="Z121" i="41"/>
  <c r="AI121" i="41" s="1"/>
  <c r="Y121" i="40"/>
  <c r="AH121" i="40" s="1"/>
  <c r="Z121" i="24"/>
  <c r="AI121" i="24" s="1"/>
  <c r="AA107" i="20"/>
  <c r="AJ107" i="20" s="1"/>
  <c r="Y114" i="41"/>
  <c r="AH114" i="41" s="1"/>
  <c r="AH119" i="24" l="1"/>
  <c r="Y120" i="24"/>
  <c r="AG119" i="24"/>
  <c r="X120" i="24"/>
  <c r="AJ109" i="10"/>
  <c r="AA110" i="10"/>
  <c r="AK110" i="20"/>
  <c r="AB111" i="20"/>
  <c r="AA123" i="40"/>
  <c r="AJ123" i="40" s="1"/>
  <c r="AA124" i="24"/>
  <c r="AJ124" i="24" s="1"/>
  <c r="AA116" i="41"/>
  <c r="AJ116" i="41" s="1"/>
  <c r="AC109" i="20"/>
  <c r="AL109" i="20" s="1"/>
  <c r="Z108" i="20"/>
  <c r="AI108" i="20" s="1"/>
  <c r="Y122" i="40"/>
  <c r="AH122" i="40" s="1"/>
  <c r="Z122" i="40"/>
  <c r="AI122" i="40" s="1"/>
  <c r="Z122" i="41"/>
  <c r="AI122" i="41" s="1"/>
  <c r="X122" i="41"/>
  <c r="AG122" i="41" s="1"/>
  <c r="AA108" i="20"/>
  <c r="AJ108" i="20" s="1"/>
  <c r="Y115" i="41"/>
  <c r="AH115" i="41" s="1"/>
  <c r="Z122" i="24"/>
  <c r="AI122" i="24" s="1"/>
  <c r="X122" i="40"/>
  <c r="AG122" i="40" s="1"/>
  <c r="Z111" i="10"/>
  <c r="AI111" i="10" s="1"/>
  <c r="AG120" i="24" l="1"/>
  <c r="X121" i="24"/>
  <c r="AH120" i="24"/>
  <c r="Y121" i="24"/>
  <c r="AJ110" i="10"/>
  <c r="AA111" i="10"/>
  <c r="AK111" i="20"/>
  <c r="AB112" i="20"/>
  <c r="AC110" i="20"/>
  <c r="AL110" i="20" s="1"/>
  <c r="AA117" i="41"/>
  <c r="AJ117" i="41" s="1"/>
  <c r="AA125" i="24"/>
  <c r="AJ125" i="24" s="1"/>
  <c r="AA124" i="40"/>
  <c r="AJ124" i="40" s="1"/>
  <c r="AA109" i="20"/>
  <c r="AJ109" i="20" s="1"/>
  <c r="Z123" i="41"/>
  <c r="AI123" i="41" s="1"/>
  <c r="Z109" i="20"/>
  <c r="AI109" i="20" s="1"/>
  <c r="X123" i="41"/>
  <c r="AG123" i="41" s="1"/>
  <c r="Z123" i="40"/>
  <c r="AI123" i="40" s="1"/>
  <c r="Z123" i="24"/>
  <c r="AI123" i="24" s="1"/>
  <c r="Z112" i="10"/>
  <c r="AI112" i="10" s="1"/>
  <c r="Y123" i="40"/>
  <c r="AH123" i="40" s="1"/>
  <c r="X123" i="40"/>
  <c r="AG123" i="40" s="1"/>
  <c r="Y116" i="41"/>
  <c r="AH116" i="41" s="1"/>
  <c r="AH121" i="24" l="1"/>
  <c r="Y122" i="24"/>
  <c r="AG121" i="24"/>
  <c r="X122" i="24"/>
  <c r="AJ111" i="10"/>
  <c r="AA112" i="10"/>
  <c r="AK112" i="20"/>
  <c r="AB113" i="20"/>
  <c r="AA125" i="40"/>
  <c r="AJ125" i="40" s="1"/>
  <c r="AA126" i="24"/>
  <c r="AJ126" i="24" s="1"/>
  <c r="AA118" i="41"/>
  <c r="AJ118" i="41" s="1"/>
  <c r="AC111" i="20"/>
  <c r="AL111" i="20" s="1"/>
  <c r="Z124" i="24"/>
  <c r="AI124" i="24" s="1"/>
  <c r="Z110" i="20"/>
  <c r="AI110" i="20" s="1"/>
  <c r="Z124" i="41"/>
  <c r="AI124" i="41" s="1"/>
  <c r="Z124" i="40"/>
  <c r="AI124" i="40" s="1"/>
  <c r="AA110" i="20"/>
  <c r="AJ110" i="20" s="1"/>
  <c r="Y117" i="41"/>
  <c r="AH117" i="41" s="1"/>
  <c r="Y124" i="40"/>
  <c r="AH124" i="40" s="1"/>
  <c r="Z113" i="10"/>
  <c r="AI113" i="10" s="1"/>
  <c r="X124" i="40"/>
  <c r="AG124" i="40" s="1"/>
  <c r="X124" i="41"/>
  <c r="AG124" i="41" s="1"/>
  <c r="AG122" i="24" l="1"/>
  <c r="X123" i="24"/>
  <c r="AH122" i="24"/>
  <c r="Y123" i="24"/>
  <c r="AJ112" i="10"/>
  <c r="AA113" i="10"/>
  <c r="AK113" i="20"/>
  <c r="AB114" i="20"/>
  <c r="AC112" i="20"/>
  <c r="AL112" i="20" s="1"/>
  <c r="AA119" i="41"/>
  <c r="AJ119" i="41" s="1"/>
  <c r="AA127" i="24"/>
  <c r="AJ127" i="24" s="1"/>
  <c r="AA126" i="40"/>
  <c r="AJ126" i="40" s="1"/>
  <c r="Z111" i="20"/>
  <c r="AI111" i="20" s="1"/>
  <c r="Y125" i="40"/>
  <c r="AH125" i="40" s="1"/>
  <c r="Y118" i="41"/>
  <c r="AH118" i="41" s="1"/>
  <c r="X125" i="41"/>
  <c r="AG125" i="41" s="1"/>
  <c r="AA111" i="20"/>
  <c r="AJ111" i="20" s="1"/>
  <c r="Z125" i="24"/>
  <c r="AI125" i="24" s="1"/>
  <c r="Z125" i="40"/>
  <c r="AI125" i="40" s="1"/>
  <c r="X125" i="40"/>
  <c r="AG125" i="40" s="1"/>
  <c r="Z125" i="41"/>
  <c r="AI125" i="41" s="1"/>
  <c r="Z114" i="10"/>
  <c r="AI114" i="10" s="1"/>
  <c r="AH123" i="24" l="1"/>
  <c r="Y124" i="24"/>
  <c r="AG123" i="24"/>
  <c r="X124" i="24"/>
  <c r="AJ113" i="10"/>
  <c r="AA114" i="10"/>
  <c r="AK114" i="20"/>
  <c r="AB115" i="20"/>
  <c r="AA127" i="40"/>
  <c r="AJ127" i="40" s="1"/>
  <c r="AA128" i="24"/>
  <c r="AJ128" i="24" s="1"/>
  <c r="AA120" i="41"/>
  <c r="AJ120" i="41" s="1"/>
  <c r="AC113" i="20"/>
  <c r="AL113" i="20" s="1"/>
  <c r="Y119" i="41"/>
  <c r="AH119" i="41" s="1"/>
  <c r="Z126" i="40"/>
  <c r="AI126" i="40" s="1"/>
  <c r="Z126" i="24"/>
  <c r="AI126" i="24" s="1"/>
  <c r="AA112" i="20"/>
  <c r="AJ112" i="20" s="1"/>
  <c r="Z126" i="41"/>
  <c r="AI126" i="41" s="1"/>
  <c r="X126" i="41"/>
  <c r="AG126" i="41" s="1"/>
  <c r="X126" i="40"/>
  <c r="AG126" i="40" s="1"/>
  <c r="Y126" i="40"/>
  <c r="AH126" i="40" s="1"/>
  <c r="Z115" i="10"/>
  <c r="AI115" i="10" s="1"/>
  <c r="Z112" i="20"/>
  <c r="AI112" i="20" s="1"/>
  <c r="AG124" i="24" l="1"/>
  <c r="X125" i="24"/>
  <c r="AH124" i="24"/>
  <c r="Y125" i="24"/>
  <c r="AJ114" i="10"/>
  <c r="AA115" i="10"/>
  <c r="AK115" i="20"/>
  <c r="AB116" i="20"/>
  <c r="AC114" i="20"/>
  <c r="AL114" i="20" s="1"/>
  <c r="AA121" i="41"/>
  <c r="AJ121" i="41" s="1"/>
  <c r="AA129" i="24"/>
  <c r="AJ129" i="24" s="1"/>
  <c r="AA128" i="40"/>
  <c r="AJ128" i="40" s="1"/>
  <c r="X127" i="41"/>
  <c r="AG127" i="41" s="1"/>
  <c r="Z127" i="24"/>
  <c r="AI127" i="24" s="1"/>
  <c r="Z113" i="20"/>
  <c r="AI113" i="20" s="1"/>
  <c r="AA113" i="20"/>
  <c r="AJ113" i="20" s="1"/>
  <c r="Z127" i="40"/>
  <c r="AI127" i="40" s="1"/>
  <c r="Z127" i="41"/>
  <c r="AI127" i="41" s="1"/>
  <c r="Y120" i="41"/>
  <c r="AH120" i="41" s="1"/>
  <c r="Y127" i="40"/>
  <c r="AH127" i="40" s="1"/>
  <c r="Z116" i="10"/>
  <c r="AI116" i="10" s="1"/>
  <c r="X127" i="40"/>
  <c r="AG127" i="40" s="1"/>
  <c r="AH125" i="24" l="1"/>
  <c r="Y126" i="24"/>
  <c r="AG125" i="24"/>
  <c r="X126" i="24"/>
  <c r="AJ115" i="10"/>
  <c r="AA116" i="10"/>
  <c r="AK116" i="20"/>
  <c r="AB117" i="20"/>
  <c r="AA129" i="40"/>
  <c r="AJ129" i="40" s="1"/>
  <c r="AA130" i="24"/>
  <c r="AJ130" i="24" s="1"/>
  <c r="AA122" i="41"/>
  <c r="AJ122" i="41" s="1"/>
  <c r="AC115" i="20"/>
  <c r="AL115" i="20" s="1"/>
  <c r="Y128" i="40"/>
  <c r="AH128" i="40" s="1"/>
  <c r="Y121" i="41"/>
  <c r="AH121" i="41" s="1"/>
  <c r="Z128" i="40"/>
  <c r="AI128" i="40" s="1"/>
  <c r="Z128" i="24"/>
  <c r="AI128" i="24" s="1"/>
  <c r="X128" i="40"/>
  <c r="AG128" i="40" s="1"/>
  <c r="AA114" i="20"/>
  <c r="AJ114" i="20" s="1"/>
  <c r="Z117" i="10"/>
  <c r="AI117" i="10" s="1"/>
  <c r="X128" i="41"/>
  <c r="AG128" i="41" s="1"/>
  <c r="Z128" i="41"/>
  <c r="AI128" i="41" s="1"/>
  <c r="Z114" i="20"/>
  <c r="AI114" i="20" s="1"/>
  <c r="AG126" i="24" l="1"/>
  <c r="X127" i="24"/>
  <c r="AH126" i="24"/>
  <c r="Y127" i="24"/>
  <c r="AJ116" i="10"/>
  <c r="AA117" i="10"/>
  <c r="AK117" i="20"/>
  <c r="AB118" i="20"/>
  <c r="AC116" i="20"/>
  <c r="AL116" i="20" s="1"/>
  <c r="AA123" i="41"/>
  <c r="AJ123" i="41" s="1"/>
  <c r="AA131" i="24"/>
  <c r="AJ131" i="24" s="1"/>
  <c r="AA130" i="40"/>
  <c r="AJ130" i="40" s="1"/>
  <c r="Z118" i="10"/>
  <c r="AI118" i="10" s="1"/>
  <c r="X129" i="40"/>
  <c r="AG129" i="40" s="1"/>
  <c r="X129" i="41"/>
  <c r="AG129" i="41" s="1"/>
  <c r="Z115" i="20"/>
  <c r="AI115" i="20" s="1"/>
  <c r="Y122" i="41"/>
  <c r="AH122" i="41" s="1"/>
  <c r="Y129" i="40"/>
  <c r="AH129" i="40" s="1"/>
  <c r="Z129" i="24"/>
  <c r="AI129" i="24" s="1"/>
  <c r="AA115" i="20"/>
  <c r="AJ115" i="20" s="1"/>
  <c r="Z129" i="40"/>
  <c r="AI129" i="40" s="1"/>
  <c r="Z129" i="41"/>
  <c r="AI129" i="41" s="1"/>
  <c r="AH127" i="24" l="1"/>
  <c r="Y128" i="24"/>
  <c r="AG127" i="24"/>
  <c r="X128" i="24"/>
  <c r="AJ117" i="10"/>
  <c r="AA118" i="10"/>
  <c r="AK118" i="20"/>
  <c r="AB119" i="20"/>
  <c r="AA131" i="40"/>
  <c r="AJ131" i="40" s="1"/>
  <c r="AA132" i="24"/>
  <c r="AJ132" i="24" s="1"/>
  <c r="AA124" i="41"/>
  <c r="AJ124" i="41" s="1"/>
  <c r="AC117" i="20"/>
  <c r="AL117" i="20" s="1"/>
  <c r="Y130" i="40"/>
  <c r="AH130" i="40" s="1"/>
  <c r="Y123" i="41"/>
  <c r="AH123" i="41" s="1"/>
  <c r="Z116" i="20"/>
  <c r="AI116" i="20" s="1"/>
  <c r="Z130" i="41"/>
  <c r="AI130" i="41" s="1"/>
  <c r="X130" i="41"/>
  <c r="AG130" i="41" s="1"/>
  <c r="X130" i="40"/>
  <c r="AG130" i="40" s="1"/>
  <c r="Z119" i="10"/>
  <c r="AI119" i="10" s="1"/>
  <c r="AA116" i="20"/>
  <c r="AJ116" i="20" s="1"/>
  <c r="Z130" i="40"/>
  <c r="AI130" i="40" s="1"/>
  <c r="Z130" i="24"/>
  <c r="AI130" i="24" s="1"/>
  <c r="AG128" i="24" l="1"/>
  <c r="X129" i="24"/>
  <c r="AH128" i="24"/>
  <c r="Y129" i="24"/>
  <c r="AJ118" i="10"/>
  <c r="AA119" i="10"/>
  <c r="AK119" i="20"/>
  <c r="AB120" i="20"/>
  <c r="AC118" i="20"/>
  <c r="AL118" i="20" s="1"/>
  <c r="AA125" i="41"/>
  <c r="AJ125" i="41" s="1"/>
  <c r="AA133" i="24"/>
  <c r="AJ133" i="24" s="1"/>
  <c r="AA132" i="40"/>
  <c r="AJ132" i="40" s="1"/>
  <c r="Z120" i="10"/>
  <c r="AI120" i="10" s="1"/>
  <c r="Z117" i="20"/>
  <c r="AI117" i="20" s="1"/>
  <c r="Y124" i="41"/>
  <c r="AH124" i="41" s="1"/>
  <c r="X131" i="40"/>
  <c r="AG131" i="40" s="1"/>
  <c r="Z131" i="24"/>
  <c r="AI131" i="24" s="1"/>
  <c r="Z131" i="41"/>
  <c r="AI131" i="41" s="1"/>
  <c r="X131" i="41"/>
  <c r="AG131" i="41" s="1"/>
  <c r="Y131" i="40"/>
  <c r="AH131" i="40" s="1"/>
  <c r="Z131" i="40"/>
  <c r="AI131" i="40" s="1"/>
  <c r="AA117" i="20"/>
  <c r="AJ117" i="20" s="1"/>
  <c r="AH129" i="24" l="1"/>
  <c r="Y130" i="24"/>
  <c r="AG129" i="24"/>
  <c r="X130" i="24"/>
  <c r="AJ119" i="10"/>
  <c r="AA120" i="10"/>
  <c r="AK120" i="20"/>
  <c r="AB121" i="20"/>
  <c r="AA133" i="40"/>
  <c r="AJ133" i="40" s="1"/>
  <c r="AA134" i="24"/>
  <c r="AJ134" i="24" s="1"/>
  <c r="AA126" i="41"/>
  <c r="AJ126" i="41" s="1"/>
  <c r="AC119" i="20"/>
  <c r="AL119" i="20" s="1"/>
  <c r="X132" i="40"/>
  <c r="AG132" i="40" s="1"/>
  <c r="Y132" i="40"/>
  <c r="AH132" i="40" s="1"/>
  <c r="X132" i="41"/>
  <c r="AG132" i="41" s="1"/>
  <c r="Z132" i="41"/>
  <c r="AI132" i="41" s="1"/>
  <c r="Y125" i="41"/>
  <c r="AH125" i="41" s="1"/>
  <c r="AA118" i="20"/>
  <c r="AJ118" i="20" s="1"/>
  <c r="Z132" i="24"/>
  <c r="AI132" i="24" s="1"/>
  <c r="Z118" i="20"/>
  <c r="AI118" i="20" s="1"/>
  <c r="Z132" i="40"/>
  <c r="AI132" i="40" s="1"/>
  <c r="Z121" i="10"/>
  <c r="AI121" i="10" s="1"/>
  <c r="AG130" i="24" l="1"/>
  <c r="X131" i="24"/>
  <c r="AH130" i="24"/>
  <c r="Y131" i="24"/>
  <c r="AJ120" i="10"/>
  <c r="AA121" i="10"/>
  <c r="AK121" i="20"/>
  <c r="AB122" i="20"/>
  <c r="AC120" i="20"/>
  <c r="AL120" i="20" s="1"/>
  <c r="AA127" i="41"/>
  <c r="AJ127" i="41" s="1"/>
  <c r="AA135" i="24"/>
  <c r="AF5" i="24" s="1" a="1"/>
  <c r="AF5" i="24" s="1"/>
  <c r="AA134" i="40"/>
  <c r="AJ134" i="40" s="1"/>
  <c r="Z122" i="10"/>
  <c r="AI122" i="10" s="1"/>
  <c r="Z133" i="24"/>
  <c r="AI133" i="24" s="1"/>
  <c r="Y126" i="41"/>
  <c r="AH126" i="41" s="1"/>
  <c r="Z133" i="41"/>
  <c r="AI133" i="41" s="1"/>
  <c r="Y133" i="40"/>
  <c r="AH133" i="40" s="1"/>
  <c r="AA119" i="20"/>
  <c r="AJ119" i="20" s="1"/>
  <c r="Z119" i="20"/>
  <c r="AI119" i="20" s="1"/>
  <c r="Z133" i="40"/>
  <c r="AI133" i="40" s="1"/>
  <c r="X133" i="41"/>
  <c r="AG133" i="41" s="1"/>
  <c r="X133" i="40"/>
  <c r="AG133" i="40" s="1"/>
  <c r="J18" i="7" a="1"/>
  <c r="J18" i="7" l="1"/>
  <c r="AF6" i="24"/>
  <c r="AH131" i="24"/>
  <c r="Y132" i="24"/>
  <c r="AG131" i="24"/>
  <c r="X132" i="24"/>
  <c r="AJ121" i="10"/>
  <c r="AA122" i="10"/>
  <c r="AJ135" i="24"/>
  <c r="AK122" i="20"/>
  <c r="AB123" i="20"/>
  <c r="AA135" i="40"/>
  <c r="AF5" i="40" s="1" a="1"/>
  <c r="AF5" i="40" s="1"/>
  <c r="AA128" i="41"/>
  <c r="AJ128" i="41" s="1"/>
  <c r="AC121" i="20"/>
  <c r="AL121" i="20" s="1"/>
  <c r="Z123" i="10"/>
  <c r="AI123" i="10" s="1"/>
  <c r="Z120" i="20"/>
  <c r="AI120" i="20" s="1"/>
  <c r="Z134" i="40"/>
  <c r="AI134" i="40" s="1"/>
  <c r="Y134" i="40"/>
  <c r="AH134" i="40" s="1"/>
  <c r="Z134" i="41"/>
  <c r="AI134" i="41" s="1"/>
  <c r="Y127" i="41"/>
  <c r="AH127" i="41" s="1"/>
  <c r="AA120" i="20"/>
  <c r="AJ120" i="20" s="1"/>
  <c r="X134" i="40"/>
  <c r="AG134" i="40" s="1"/>
  <c r="X134" i="41"/>
  <c r="AG134" i="41" s="1"/>
  <c r="Z134" i="24"/>
  <c r="AI134" i="24" s="1"/>
  <c r="L18" i="7" a="1"/>
  <c r="L18" i="7" l="1"/>
  <c r="AF6" i="40"/>
  <c r="AG132" i="24"/>
  <c r="X133" i="24"/>
  <c r="AH132" i="24"/>
  <c r="Y133" i="24"/>
  <c r="AJ122" i="10"/>
  <c r="AA123" i="10"/>
  <c r="AJ135" i="40"/>
  <c r="AK123" i="20"/>
  <c r="AB124" i="20"/>
  <c r="AC122" i="20"/>
  <c r="AL122" i="20" s="1"/>
  <c r="AA129" i="41"/>
  <c r="AJ129" i="41" s="1"/>
  <c r="AJ11" i="24"/>
  <c r="BC3" i="24" s="1"/>
  <c r="Z135" i="40"/>
  <c r="AE5" i="40" s="1" a="1"/>
  <c r="AE5" i="40" s="1"/>
  <c r="Z121" i="20"/>
  <c r="AI121" i="20" s="1"/>
  <c r="Z135" i="41"/>
  <c r="AE5" i="41" s="1" a="1"/>
  <c r="AE5" i="41" s="1"/>
  <c r="Z124" i="10"/>
  <c r="AI124" i="10" s="1"/>
  <c r="Z135" i="24"/>
  <c r="AE5" i="24" s="1" a="1"/>
  <c r="AE5" i="24" s="1"/>
  <c r="X135" i="40"/>
  <c r="AG135" i="40" s="1"/>
  <c r="AG11" i="40" s="1"/>
  <c r="BB2" i="40" s="1"/>
  <c r="AA121" i="20"/>
  <c r="AJ121" i="20" s="1"/>
  <c r="Y128" i="41"/>
  <c r="AH128" i="41" s="1"/>
  <c r="X135" i="41"/>
  <c r="AG135" i="41" s="1"/>
  <c r="AG11" i="41" s="1"/>
  <c r="BB2" i="41" s="1"/>
  <c r="Y135" i="40"/>
  <c r="AH135" i="40" s="1"/>
  <c r="AH11" i="40" s="1"/>
  <c r="BC2" i="40" s="1"/>
  <c r="K5" i="7" a="1"/>
  <c r="L5" i="7" a="1"/>
  <c r="M18" i="7" a="1"/>
  <c r="I18" i="7" a="1"/>
  <c r="M5" i="7" a="1"/>
  <c r="K18" i="7" a="1"/>
  <c r="M5" i="7" l="1"/>
  <c r="L5" i="7"/>
  <c r="M18" i="7"/>
  <c r="M9" i="7" s="1"/>
  <c r="I18" i="7"/>
  <c r="I9" i="7" s="1"/>
  <c r="K18" i="7"/>
  <c r="K9" i="7" s="1"/>
  <c r="K5" i="7"/>
  <c r="AE6" i="41"/>
  <c r="AE6" i="24"/>
  <c r="AE6" i="40"/>
  <c r="AH133" i="24"/>
  <c r="Y134" i="24"/>
  <c r="AG133" i="24"/>
  <c r="X134" i="24"/>
  <c r="BC5" i="24"/>
  <c r="AJ123" i="10"/>
  <c r="AA124" i="10"/>
  <c r="AI135" i="40"/>
  <c r="AK124" i="20"/>
  <c r="AB125" i="20"/>
  <c r="AI135" i="24"/>
  <c r="AI135" i="41"/>
  <c r="AJ11" i="40"/>
  <c r="AA130" i="41"/>
  <c r="AJ130" i="41" s="1"/>
  <c r="AC123" i="20"/>
  <c r="AL123" i="20" s="1"/>
  <c r="Z125" i="10"/>
  <c r="AI125" i="10" s="1"/>
  <c r="AA122" i="20"/>
  <c r="AJ122" i="20" s="1"/>
  <c r="Y129" i="41"/>
  <c r="AH129" i="41" s="1"/>
  <c r="Z122" i="20"/>
  <c r="AI122" i="20" s="1"/>
  <c r="J7" i="7" a="1"/>
  <c r="J7" i="7" l="1"/>
  <c r="AG134" i="24"/>
  <c r="X135" i="24"/>
  <c r="AG135" i="24" s="1"/>
  <c r="AH134" i="24"/>
  <c r="Y135" i="24"/>
  <c r="AH135" i="24" s="1"/>
  <c r="BC3" i="40"/>
  <c r="BC4" i="40" s="1"/>
  <c r="BC5" i="40"/>
  <c r="J9" i="7"/>
  <c r="AJ124" i="10"/>
  <c r="AA125" i="10"/>
  <c r="AK125" i="20"/>
  <c r="AB126" i="20"/>
  <c r="AC124" i="20"/>
  <c r="AL124" i="20" s="1"/>
  <c r="AA131" i="41"/>
  <c r="AJ131" i="41" s="1"/>
  <c r="AA123" i="20"/>
  <c r="AJ123" i="20" s="1"/>
  <c r="AI11" i="41"/>
  <c r="BB3" i="41" s="1"/>
  <c r="BB4" i="41" s="1"/>
  <c r="AI11" i="40"/>
  <c r="BB3" i="40" s="1"/>
  <c r="BB4" i="40" s="1"/>
  <c r="Z123" i="20"/>
  <c r="AI123" i="20" s="1"/>
  <c r="Y130" i="41"/>
  <c r="AH130" i="41" s="1"/>
  <c r="AI11" i="24"/>
  <c r="Z126" i="10"/>
  <c r="AI126" i="10" s="1"/>
  <c r="L7" i="7" a="1"/>
  <c r="K6" i="7" a="1"/>
  <c r="L6" i="7" a="1"/>
  <c r="M6" i="7" a="1"/>
  <c r="AG11" i="24" l="1"/>
  <c r="BB2" i="24" s="1"/>
  <c r="K6" i="7"/>
  <c r="M6" i="7"/>
  <c r="L7" i="7"/>
  <c r="L9" i="7" s="1"/>
  <c r="L6" i="7"/>
  <c r="AH11" i="24"/>
  <c r="BC2" i="24" s="1"/>
  <c r="BB3" i="24"/>
  <c r="BB4" i="24" s="1"/>
  <c r="AJ125" i="10"/>
  <c r="AA126" i="10"/>
  <c r="AK126" i="20"/>
  <c r="AB127" i="20"/>
  <c r="K15" i="7"/>
  <c r="AA132" i="41"/>
  <c r="AJ132" i="41" s="1"/>
  <c r="AC125" i="20"/>
  <c r="AL125" i="20" s="1"/>
  <c r="Y131" i="41"/>
  <c r="AH131" i="41" s="1"/>
  <c r="Z124" i="20"/>
  <c r="AI124" i="20" s="1"/>
  <c r="AA124" i="20"/>
  <c r="AJ124" i="20" s="1"/>
  <c r="Z127" i="10"/>
  <c r="AI127" i="10" s="1"/>
  <c r="I6" i="7" a="1"/>
  <c r="J5" i="7" a="1"/>
  <c r="I5" i="7" a="1"/>
  <c r="I5" i="7" l="1"/>
  <c r="L15" i="7"/>
  <c r="E29" i="25" a="1"/>
  <c r="E29" i="25" s="1"/>
  <c r="E31" i="25" a="1"/>
  <c r="E31" i="25" s="1"/>
  <c r="E30" i="25" a="1"/>
  <c r="E30" i="25" s="1"/>
  <c r="J5" i="7"/>
  <c r="I6" i="7"/>
  <c r="BC4" i="24"/>
  <c r="M15" i="7"/>
  <c r="E12" i="25" a="1"/>
  <c r="E12" i="25" s="1"/>
  <c r="E11" i="25" a="1"/>
  <c r="E11" i="25" s="1"/>
  <c r="E13" i="25" a="1"/>
  <c r="E13" i="25" s="1"/>
  <c r="AJ126" i="10"/>
  <c r="AA127" i="10"/>
  <c r="AK127" i="20"/>
  <c r="AB128" i="20"/>
  <c r="AC126" i="20"/>
  <c r="AL126" i="20" s="1"/>
  <c r="AA133" i="41"/>
  <c r="AJ133" i="41" s="1"/>
  <c r="AA125" i="20"/>
  <c r="AJ125" i="20" s="1"/>
  <c r="Y132" i="41"/>
  <c r="AH132" i="41" s="1"/>
  <c r="Z125" i="20"/>
  <c r="AI125" i="20" s="1"/>
  <c r="Z128" i="10"/>
  <c r="AI128" i="10" s="1"/>
  <c r="J6" i="7" a="1"/>
  <c r="E16" i="25" l="1" a="1"/>
  <c r="E16" i="25" s="1"/>
  <c r="E15" i="25" a="1"/>
  <c r="E15" i="25" s="1"/>
  <c r="E14" i="25" a="1"/>
  <c r="E14" i="25" s="1"/>
  <c r="J6" i="7"/>
  <c r="J15" i="7" s="1"/>
  <c r="AJ127" i="10"/>
  <c r="AA128" i="10"/>
  <c r="AK128" i="20"/>
  <c r="AB129" i="20"/>
  <c r="AA134" i="41"/>
  <c r="AJ134" i="41" s="1"/>
  <c r="AC127" i="20"/>
  <c r="AL127" i="20" s="1"/>
  <c r="AA126" i="20"/>
  <c r="AJ126" i="20" s="1"/>
  <c r="Z129" i="10"/>
  <c r="AI129" i="10" s="1"/>
  <c r="Z126" i="20"/>
  <c r="AI126" i="20" s="1"/>
  <c r="Y133" i="41"/>
  <c r="AH133" i="41" s="1"/>
  <c r="E28" i="25" l="1" a="1"/>
  <c r="E28" i="25" s="1"/>
  <c r="E27" i="25" a="1"/>
  <c r="E27" i="25" s="1"/>
  <c r="E26" i="25" a="1"/>
  <c r="E26" i="25" s="1"/>
  <c r="AJ128" i="10"/>
  <c r="AA129" i="10"/>
  <c r="AK129" i="20"/>
  <c r="AB130" i="20"/>
  <c r="AC128" i="20"/>
  <c r="AL128" i="20" s="1"/>
  <c r="AA135" i="41"/>
  <c r="AF5" i="41" s="1" a="1"/>
  <c r="AF5" i="41" s="1"/>
  <c r="Y134" i="41"/>
  <c r="AH134" i="41" s="1"/>
  <c r="Z127" i="20"/>
  <c r="AI127" i="20" s="1"/>
  <c r="Z130" i="10"/>
  <c r="AI130" i="10" s="1"/>
  <c r="AA127" i="20"/>
  <c r="AJ127" i="20" s="1"/>
  <c r="N18" i="7" a="1"/>
  <c r="N18" i="7" l="1"/>
  <c r="AF6" i="41"/>
  <c r="AJ129" i="10"/>
  <c r="AA130" i="10"/>
  <c r="AJ135" i="41"/>
  <c r="AK130" i="20"/>
  <c r="AB131" i="20"/>
  <c r="AC129" i="20"/>
  <c r="AL129" i="20" s="1"/>
  <c r="Y135" i="41"/>
  <c r="AH135" i="41" s="1"/>
  <c r="AH11" i="41" s="1"/>
  <c r="BC2" i="41" s="1"/>
  <c r="Z128" i="20"/>
  <c r="AI128" i="20" s="1"/>
  <c r="AA128" i="20"/>
  <c r="AJ128" i="20" s="1"/>
  <c r="Z131" i="10"/>
  <c r="AI131" i="10" s="1"/>
  <c r="N5" i="7" a="1"/>
  <c r="N5" i="7" l="1"/>
  <c r="AJ130" i="10"/>
  <c r="AA131" i="10"/>
  <c r="AK131" i="20"/>
  <c r="AB132" i="20"/>
  <c r="AC130" i="20"/>
  <c r="AL130" i="20" s="1"/>
  <c r="AJ11" i="41"/>
  <c r="AA129" i="20"/>
  <c r="AJ129" i="20" s="1"/>
  <c r="Z132" i="10"/>
  <c r="AI132" i="10" s="1"/>
  <c r="Z129" i="20"/>
  <c r="AI129" i="20" s="1"/>
  <c r="BC3" i="41" l="1"/>
  <c r="BC4" i="41" s="1"/>
  <c r="BC5" i="41"/>
  <c r="AJ131" i="10"/>
  <c r="AA132" i="10"/>
  <c r="AK132" i="20"/>
  <c r="AB133" i="20"/>
  <c r="AC131" i="20"/>
  <c r="AL131" i="20" s="1"/>
  <c r="AA130" i="20"/>
  <c r="AJ130" i="20" s="1"/>
  <c r="Z130" i="20"/>
  <c r="AI130" i="20" s="1"/>
  <c r="Z133" i="10"/>
  <c r="AI133" i="10" s="1"/>
  <c r="N6" i="7" a="1"/>
  <c r="N7" i="7" a="1"/>
  <c r="N7" i="7" l="1"/>
  <c r="N9" i="7" s="1"/>
  <c r="N6" i="7"/>
  <c r="AJ132" i="10"/>
  <c r="AA133" i="10"/>
  <c r="AK133" i="20"/>
  <c r="AB134" i="20"/>
  <c r="AC132" i="20"/>
  <c r="AL132" i="20" s="1"/>
  <c r="Z131" i="20"/>
  <c r="AI131" i="20" s="1"/>
  <c r="AA131" i="20"/>
  <c r="AJ131" i="20" s="1"/>
  <c r="Z134" i="10"/>
  <c r="AI134" i="10" s="1"/>
  <c r="E33" i="25" l="1" a="1"/>
  <c r="E33" i="25" s="1"/>
  <c r="E32" i="25" a="1"/>
  <c r="E32" i="25" s="1"/>
  <c r="N15" i="7"/>
  <c r="E34" i="25" a="1"/>
  <c r="E34" i="25" s="1"/>
  <c r="AJ133" i="10"/>
  <c r="AA134" i="10"/>
  <c r="AK134" i="20"/>
  <c r="AB135" i="20"/>
  <c r="AK135" i="20" s="1"/>
  <c r="AC133" i="20"/>
  <c r="AL133" i="20" s="1"/>
  <c r="AA132" i="20"/>
  <c r="AJ132" i="20" s="1"/>
  <c r="Z132" i="20"/>
  <c r="AI132" i="20" s="1"/>
  <c r="Z135" i="10"/>
  <c r="AI135" i="10" s="1"/>
  <c r="AJ134" i="10" l="1"/>
  <c r="AA135" i="10"/>
  <c r="AJ135" i="10" s="1"/>
  <c r="AK11" i="20"/>
  <c r="BB3" i="20" s="1"/>
  <c r="AC134" i="20"/>
  <c r="AL134" i="20" s="1"/>
  <c r="AI11" i="10"/>
  <c r="BB2" i="10" s="1"/>
  <c r="Z133" i="20"/>
  <c r="AI133" i="20" s="1"/>
  <c r="AA133" i="20"/>
  <c r="AJ133" i="20" s="1"/>
  <c r="E5" i="7" a="1"/>
  <c r="E5" i="7" l="1"/>
  <c r="C5" i="7" s="1"/>
  <c r="BB4" i="10"/>
  <c r="AJ11" i="10"/>
  <c r="BC2" i="10" s="1"/>
  <c r="I15" i="7"/>
  <c r="AC135" i="20"/>
  <c r="AL135" i="20" s="1"/>
  <c r="AA134" i="20"/>
  <c r="AJ134" i="20" s="1"/>
  <c r="Z134" i="20"/>
  <c r="AI134" i="20" s="1"/>
  <c r="F5" i="7" a="1"/>
  <c r="E6" i="7" a="1"/>
  <c r="F5" i="7" l="1"/>
  <c r="D5" i="7" s="1"/>
  <c r="E6" i="7"/>
  <c r="BC4" i="10"/>
  <c r="E8" i="25" a="1"/>
  <c r="E8" i="25" s="1"/>
  <c r="E10" i="25" a="1"/>
  <c r="E10" i="25" s="1"/>
  <c r="E9" i="25" a="1"/>
  <c r="E9" i="25" s="1"/>
  <c r="AL11" i="20"/>
  <c r="BC3" i="20" s="1"/>
  <c r="Z135" i="20"/>
  <c r="AI135" i="20" s="1"/>
  <c r="AA135" i="20"/>
  <c r="F6" i="7" a="1"/>
  <c r="F6" i="7" l="1"/>
  <c r="F15" i="7" s="1"/>
  <c r="AJ135" i="20"/>
  <c r="AI11" i="20"/>
  <c r="BB2" i="20" s="1"/>
  <c r="G5" i="7" a="1"/>
  <c r="G5" i="7" l="1"/>
  <c r="BB4" i="20"/>
  <c r="E25" i="25" a="1"/>
  <c r="E25" i="25" s="1"/>
  <c r="E24" i="25" a="1"/>
  <c r="E24" i="25" s="1"/>
  <c r="E23" i="25" a="1"/>
  <c r="E23" i="25" s="1"/>
  <c r="AJ11" i="20"/>
  <c r="BC2" i="20" s="1"/>
  <c r="G6" i="7" a="1"/>
  <c r="H5" i="7" a="1"/>
  <c r="H5" i="7" l="1"/>
  <c r="G6" i="7"/>
  <c r="G15" i="7" s="1"/>
  <c r="BC4" i="20"/>
  <c r="E18" i="25" a="1"/>
  <c r="E18" i="25" s="1"/>
  <c r="E17" i="25" a="1"/>
  <c r="E17" i="25" s="1"/>
  <c r="E19" i="25" a="1"/>
  <c r="E19" i="25" s="1"/>
  <c r="F23" i="25"/>
  <c r="F24" i="25"/>
  <c r="F25" i="25"/>
  <c r="D15" i="7"/>
  <c r="H6" i="7" a="1"/>
  <c r="H6" i="7" l="1"/>
  <c r="H15" i="7" s="1"/>
  <c r="E20" i="25" a="1"/>
  <c r="E20" i="25" s="1"/>
  <c r="E22" i="25" a="1"/>
  <c r="E22" i="25" s="1"/>
  <c r="E21" i="25" a="1"/>
  <c r="E21" i="25" s="1"/>
  <c r="E37" i="25" a="1"/>
  <c r="E37" i="25" s="1"/>
  <c r="E36" i="25" a="1"/>
  <c r="E36" i="25" s="1"/>
  <c r="E35" i="25" a="1"/>
  <c r="E35" i="25" s="1"/>
  <c r="F9" i="25"/>
  <c r="C15" i="7"/>
  <c r="E3" i="25" l="1" a="1"/>
  <c r="E3" i="25" s="1"/>
  <c r="E4" i="25" a="1"/>
  <c r="E4" i="25" s="1"/>
  <c r="E2" i="25" a="1"/>
  <c r="E2" i="25" s="1"/>
  <c r="F10" i="25"/>
  <c r="F8" i="25"/>
  <c r="F22" i="25"/>
  <c r="F20" i="25"/>
  <c r="F21" i="25"/>
  <c r="F3" i="25" l="1"/>
  <c r="F4" i="25"/>
  <c r="F2" i="25"/>
  <c r="E15" i="7" l="1"/>
  <c r="E5" i="25" l="1" a="1"/>
  <c r="E5" i="25" s="1"/>
  <c r="F5" i="25" s="1"/>
  <c r="E7" i="25" a="1"/>
  <c r="E7" i="25" s="1"/>
  <c r="E6" i="25" a="1"/>
  <c r="E6" i="25" s="1"/>
  <c r="F17" i="25"/>
  <c r="F18" i="25"/>
  <c r="F7" i="25" l="1"/>
  <c r="F6" i="25"/>
  <c r="F19" i="25"/>
  <c r="F35" i="25" l="1"/>
  <c r="F36" i="25"/>
  <c r="F37" i="25"/>
  <c r="F12" i="25" l="1"/>
  <c r="F13" i="25"/>
  <c r="F30" i="25"/>
  <c r="F31" i="25"/>
  <c r="F29" i="25"/>
  <c r="F15" i="25"/>
  <c r="F16" i="25"/>
  <c r="F14" i="25"/>
  <c r="F26" i="25"/>
  <c r="F27" i="25"/>
  <c r="F28" i="25"/>
  <c r="F34" i="25"/>
  <c r="F32" i="25"/>
  <c r="F11" i="25"/>
  <c r="F33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<sst xmlns="http://schemas.openxmlformats.org/spreadsheetml/2006/main" count="1014" uniqueCount="293">
  <si>
    <t>Variable</t>
  </si>
  <si>
    <t>Año de nacimiento</t>
  </si>
  <si>
    <t>Maternidad</t>
  </si>
  <si>
    <t>Información previsional</t>
  </si>
  <si>
    <t>Año nacimiento hijo 1</t>
  </si>
  <si>
    <t>Año nacimiento hijo 2</t>
  </si>
  <si>
    <t>Año nacimiento hijo 3</t>
  </si>
  <si>
    <t>Número de meses beneficio de cesantía por periodo</t>
  </si>
  <si>
    <t>Año cuidado 1</t>
  </si>
  <si>
    <t>Año cuidado 2</t>
  </si>
  <si>
    <t>Año cuidado 3</t>
  </si>
  <si>
    <t>Parámetros del sistema</t>
  </si>
  <si>
    <t>Proporción de cotización individual (α)</t>
  </si>
  <si>
    <t>Tasa de compensación por expectativa de vida (δ)</t>
  </si>
  <si>
    <t>Cuidados</t>
  </si>
  <si>
    <t>Lagunas</t>
  </si>
  <si>
    <t>Valores mercado</t>
  </si>
  <si>
    <t>Salario mínimo</t>
  </si>
  <si>
    <t>Garantía por meses cotizados en sistema vigente, UF (β)</t>
  </si>
  <si>
    <t>Garantía por meses cotizados en sistema nuevo, UF (γ)</t>
  </si>
  <si>
    <t>Año</t>
  </si>
  <si>
    <t>sexo</t>
  </si>
  <si>
    <t>edad</t>
  </si>
  <si>
    <t>t_2021</t>
  </si>
  <si>
    <t>t_2022</t>
  </si>
  <si>
    <t>t_2023</t>
  </si>
  <si>
    <t>t_2024</t>
  </si>
  <si>
    <t>t_2025</t>
  </si>
  <si>
    <t>t_2026</t>
  </si>
  <si>
    <t>t_2027</t>
  </si>
  <si>
    <t>t_2028</t>
  </si>
  <si>
    <t>t_2029</t>
  </si>
  <si>
    <t>t_2030</t>
  </si>
  <si>
    <t>t_2031</t>
  </si>
  <si>
    <t>t_2032</t>
  </si>
  <si>
    <t>t_2033</t>
  </si>
  <si>
    <t>t_2034</t>
  </si>
  <si>
    <t>t_2035</t>
  </si>
  <si>
    <t>t_2036</t>
  </si>
  <si>
    <t>t_2037</t>
  </si>
  <si>
    <t>t_2038</t>
  </si>
  <si>
    <t>t_2039</t>
  </si>
  <si>
    <t>t_2040</t>
  </si>
  <si>
    <t>t_2041</t>
  </si>
  <si>
    <t>t_2042</t>
  </si>
  <si>
    <t>t_2043</t>
  </si>
  <si>
    <t>t_2044</t>
  </si>
  <si>
    <t>t_2045</t>
  </si>
  <si>
    <t>t_2046</t>
  </si>
  <si>
    <t>t_2047</t>
  </si>
  <si>
    <t>t_2048</t>
  </si>
  <si>
    <t>t_2049</t>
  </si>
  <si>
    <t>t_2050</t>
  </si>
  <si>
    <t>t_2051</t>
  </si>
  <si>
    <t>t_2052</t>
  </si>
  <si>
    <t>t_2053</t>
  </si>
  <si>
    <t>t_2054</t>
  </si>
  <si>
    <t>t_2055</t>
  </si>
  <si>
    <t>t_2056</t>
  </si>
  <si>
    <t>t_2057</t>
  </si>
  <si>
    <t>t_2058</t>
  </si>
  <si>
    <t>t_2059</t>
  </si>
  <si>
    <t>t_2060</t>
  </si>
  <si>
    <t>t_2061</t>
  </si>
  <si>
    <t>t_2062</t>
  </si>
  <si>
    <t>t_2063</t>
  </si>
  <si>
    <t>t_2064</t>
  </si>
  <si>
    <t>t_2065</t>
  </si>
  <si>
    <t>t_2066</t>
  </si>
  <si>
    <t>t_2067</t>
  </si>
  <si>
    <t>t_2068</t>
  </si>
  <si>
    <t>t_2069</t>
  </si>
  <si>
    <t>t_2070</t>
  </si>
  <si>
    <t>t_2071</t>
  </si>
  <si>
    <t>t_2072</t>
  </si>
  <si>
    <t>t_2073</t>
  </si>
  <si>
    <t>t_2074</t>
  </si>
  <si>
    <t>t_2075</t>
  </si>
  <si>
    <t>t_2076</t>
  </si>
  <si>
    <t>t_2077</t>
  </si>
  <si>
    <t>t_2078</t>
  </si>
  <si>
    <t>t_2079</t>
  </si>
  <si>
    <t>t_2080</t>
  </si>
  <si>
    <t>t_2081</t>
  </si>
  <si>
    <t>t_2082</t>
  </si>
  <si>
    <t>t_2083</t>
  </si>
  <si>
    <t>t_2084</t>
  </si>
  <si>
    <t>t_2085</t>
  </si>
  <si>
    <t>t_2086</t>
  </si>
  <si>
    <t>t_2087</t>
  </si>
  <si>
    <t>t_2088</t>
  </si>
  <si>
    <t>t_2089</t>
  </si>
  <si>
    <t>t_2090</t>
  </si>
  <si>
    <t>t_2091</t>
  </si>
  <si>
    <t>t_2092</t>
  </si>
  <si>
    <t>t_2093</t>
  </si>
  <si>
    <t>t_2094</t>
  </si>
  <si>
    <t>t_2095</t>
  </si>
  <si>
    <t>t_2096</t>
  </si>
  <si>
    <t>t_2097</t>
  </si>
  <si>
    <t>t_2098</t>
  </si>
  <si>
    <t>t_2099</t>
  </si>
  <si>
    <t>t_2100</t>
  </si>
  <si>
    <t>Tope imponible UF</t>
  </si>
  <si>
    <t>Edad</t>
  </si>
  <si>
    <t>Cuidado</t>
  </si>
  <si>
    <t>Indicadores</t>
  </si>
  <si>
    <t>Laguna</t>
  </si>
  <si>
    <t>Cotiza</t>
  </si>
  <si>
    <t>Activo</t>
  </si>
  <si>
    <t>Hombre</t>
  </si>
  <si>
    <t>Mujer</t>
  </si>
  <si>
    <t>Sist. Vigente</t>
  </si>
  <si>
    <t>Sist. Nuevo</t>
  </si>
  <si>
    <t>Años activo</t>
  </si>
  <si>
    <t>Años cotizados</t>
  </si>
  <si>
    <t>Total</t>
  </si>
  <si>
    <t>Años sin cotizar</t>
  </si>
  <si>
    <t>Aleatorio</t>
  </si>
  <si>
    <t>Año retiro</t>
  </si>
  <si>
    <t>Salario mensual</t>
  </si>
  <si>
    <t>Tasa interés anual nocional</t>
  </si>
  <si>
    <t>Giro</t>
  </si>
  <si>
    <t>Ahorro</t>
  </si>
  <si>
    <t>Garantía</t>
  </si>
  <si>
    <t>Crecimiento anual de salarios real</t>
  </si>
  <si>
    <t xml:space="preserve">Rentabilidad real anual (promedio) fondo C </t>
  </si>
  <si>
    <t>No se calculan pensiones de sobrevivencia</t>
  </si>
  <si>
    <t>No se calcula bono de reconocimiento</t>
  </si>
  <si>
    <t>PGU</t>
  </si>
  <si>
    <t>Parte individual 6%</t>
  </si>
  <si>
    <t>Parte colectiva 6%</t>
  </si>
  <si>
    <t>Pensión principal individual</t>
  </si>
  <si>
    <t>Pensión principal contributiva</t>
  </si>
  <si>
    <t>Salario Maternidad</t>
  </si>
  <si>
    <t>Salario Cuidado</t>
  </si>
  <si>
    <t>Salario base de cotización por Cuidado (2024)</t>
  </si>
  <si>
    <t>Salario base de cotización por Maternidad (2024)</t>
  </si>
  <si>
    <t>PAFE sin reforma</t>
  </si>
  <si>
    <t>Cotización sin reforma</t>
  </si>
  <si>
    <t>Cotización con reforma</t>
  </si>
  <si>
    <t>Sexo</t>
  </si>
  <si>
    <t>Actual</t>
  </si>
  <si>
    <t xml:space="preserve">Comisión Saldo </t>
  </si>
  <si>
    <t>Base</t>
  </si>
  <si>
    <t>Tabla Mortalidad</t>
  </si>
  <si>
    <t>L. Inferior</t>
  </si>
  <si>
    <t>L. Superior</t>
  </si>
  <si>
    <t>PdL</t>
  </si>
  <si>
    <t>Monto</t>
  </si>
  <si>
    <t>Aumento por cotización</t>
  </si>
  <si>
    <t>PGU post-reforma</t>
  </si>
  <si>
    <t>Año nacimiento</t>
  </si>
  <si>
    <t>PAFE (10%)</t>
  </si>
  <si>
    <t>Cot. colectiva</t>
  </si>
  <si>
    <t>Meses bonificados por Maternidad</t>
  </si>
  <si>
    <t>Crecimiento anual de salarios real (pre-20221024)</t>
  </si>
  <si>
    <t>Tope imponible sin reforma</t>
  </si>
  <si>
    <t>Tope imponible con reforma (6% colectivo)</t>
  </si>
  <si>
    <t>Tope imponible con reforma (cot. Individual)</t>
  </si>
  <si>
    <t>Registro individual</t>
  </si>
  <si>
    <t>Registro colectivo</t>
  </si>
  <si>
    <t>Cot. Individual</t>
  </si>
  <si>
    <t>&lt;- pondera por factor</t>
  </si>
  <si>
    <t>(ir a tabla de factores)</t>
  </si>
  <si>
    <t>H</t>
  </si>
  <si>
    <t>M</t>
  </si>
  <si>
    <t>Dinámica de cotizaciones</t>
  </si>
  <si>
    <t>Registro =</t>
  </si>
  <si>
    <t>Ciclo de vida</t>
  </si>
  <si>
    <t>Cotizaciones / Registros</t>
  </si>
  <si>
    <t>Saldos acumulados</t>
  </si>
  <si>
    <t>Saldos sin reforma (10%)</t>
  </si>
  <si>
    <t>Registros Seguro Social (otras prestaciones)</t>
  </si>
  <si>
    <t>Lagunas por Cesantía</t>
  </si>
  <si>
    <t>Cuidados de Terceros</t>
  </si>
  <si>
    <t>PAFE con reforma, sin mejoras de eficiencia</t>
  </si>
  <si>
    <t>Prestaciones Seguro Social</t>
  </si>
  <si>
    <t>Beneficio de Garanía</t>
  </si>
  <si>
    <t>Meses garantía</t>
  </si>
  <si>
    <t>S. Vigente</t>
  </si>
  <si>
    <t>S. Nuevo</t>
  </si>
  <si>
    <t>Factor comp. Tablas</t>
  </si>
  <si>
    <t>DESCUENTO COMISIÓN POR SALDO</t>
  </si>
  <si>
    <t>Rentabilidad neta (base)</t>
  </si>
  <si>
    <t>Rentabilidad neta (reforma)</t>
  </si>
  <si>
    <t>TASAS DE REEMPLAZO SEGURO DE CESANTÍA</t>
  </si>
  <si>
    <t>Tasa reemplazo Seguro Cesantía (CIC)</t>
  </si>
  <si>
    <t>Tasa reemp. Acum. Seguro Cesantía (CIC)</t>
  </si>
  <si>
    <t>BENEFICIO COMPENSACIÓN EXP. DE VIDA</t>
  </si>
  <si>
    <t xml:space="preserve">Factor </t>
  </si>
  <si>
    <t>PROYECCIONES DE CRECIMIENTO DE REMUNERACIONES Y TOPES IMPONIBLES</t>
  </si>
  <si>
    <t>Índice crecimiento Año referencia =1</t>
  </si>
  <si>
    <t>Reforma 6/0</t>
  </si>
  <si>
    <t>Reforma 0/6</t>
  </si>
  <si>
    <t>* año de referencia para base remuneraciones=1</t>
  </si>
  <si>
    <t>Tope imponible Seguro Cesantía</t>
  </si>
  <si>
    <t>Reforma_6_0_sri</t>
  </si>
  <si>
    <t>Reforma_0_6_sri</t>
  </si>
  <si>
    <t>Pensión intra</t>
  </si>
  <si>
    <t>Autofinanciado</t>
  </si>
  <si>
    <t>Pensión Final</t>
  </si>
  <si>
    <t>Escenario</t>
  </si>
  <si>
    <t>Componente</t>
  </si>
  <si>
    <t>Contributivo</t>
  </si>
  <si>
    <t>Monto Pensión</t>
  </si>
  <si>
    <t>Remuneración (2024)</t>
  </si>
  <si>
    <t>Densidad cotización</t>
  </si>
  <si>
    <t>Año referencia Remuneracion</t>
  </si>
  <si>
    <t>Salario promedio (con nuevo tope)</t>
  </si>
  <si>
    <t>% descuento comision por saldo</t>
  </si>
  <si>
    <t>PAFE (pre-ref)</t>
  </si>
  <si>
    <t>PAFE (post-ref, sin ef)</t>
  </si>
  <si>
    <t>t_2017</t>
  </si>
  <si>
    <t>t_2018</t>
  </si>
  <si>
    <t>t_2019</t>
  </si>
  <si>
    <t>t_2020</t>
  </si>
  <si>
    <t>Tasa cotización género</t>
  </si>
  <si>
    <t>Gradualidad</t>
  </si>
  <si>
    <t>Cot. Colectiva capitalizada</t>
  </si>
  <si>
    <t>Chequeo</t>
  </si>
  <si>
    <t>Monto garantía por años cotizados
[UF]</t>
  </si>
  <si>
    <t>Hasta</t>
  </si>
  <si>
    <t>Desde</t>
  </si>
  <si>
    <t>Reforma 4-2</t>
  </si>
  <si>
    <t>Reforma_4_2_sri</t>
  </si>
  <si>
    <t>Alpha 4-2</t>
  </si>
  <si>
    <t>Reforma 3-3</t>
  </si>
  <si>
    <t>Reforma_3_3_sri</t>
  </si>
  <si>
    <t>Tope BM</t>
  </si>
  <si>
    <t>Factor BM</t>
  </si>
  <si>
    <t>CNU ELP (pre-ref)</t>
  </si>
  <si>
    <t>ELP</t>
  </si>
  <si>
    <t xml:space="preserve">Edad Pensión </t>
  </si>
  <si>
    <t>TM-2014 hasta 2022</t>
  </si>
  <si>
    <t>Salario mínimo (2024)</t>
  </si>
  <si>
    <t>Salario promedio (2023)</t>
  </si>
  <si>
    <t>$1.131.093 agosto 2023</t>
  </si>
  <si>
    <t>Salario Mediana (2023)</t>
  </si>
  <si>
    <t>$849.077 agosto 2023</t>
  </si>
  <si>
    <t>UF (al 31/ago/23)</t>
  </si>
  <si>
    <t>Últ. Rem</t>
  </si>
  <si>
    <t>0. Sin Reforma</t>
  </si>
  <si>
    <t>Reforma 2-4</t>
  </si>
  <si>
    <t>Reforma_2_4_sri</t>
  </si>
  <si>
    <t>Esc_4c-2i</t>
  </si>
  <si>
    <t>Esc_3c-3i</t>
  </si>
  <si>
    <t>Esc_2c-4i</t>
  </si>
  <si>
    <t>Componentes para TR</t>
  </si>
  <si>
    <t>TR últ ingreso</t>
  </si>
  <si>
    <t>Proy</t>
  </si>
  <si>
    <t>Inicio ref</t>
  </si>
  <si>
    <t>PAFE PGU (si año_pen &gt;= 2022, es ELP)</t>
  </si>
  <si>
    <t>Año PAFE (EP o ELP)</t>
  </si>
  <si>
    <t>Edad PAFE (EP o ELP)</t>
  </si>
  <si>
    <t>Esc_6i</t>
  </si>
  <si>
    <t>Esc_6c</t>
  </si>
  <si>
    <t>PAFE PGU</t>
  </si>
  <si>
    <t>1. Reforma 6% colectivo</t>
  </si>
  <si>
    <t>2. 4% colectivo - 2% individual</t>
  </si>
  <si>
    <t>3. 3% colectivo - 3% individual</t>
  </si>
  <si>
    <t>4. 2% colectivo - 4% individual</t>
  </si>
  <si>
    <t>5. Reforma 6% individual</t>
  </si>
  <si>
    <t>Tope garantía</t>
  </si>
  <si>
    <t>Alpha 3-3</t>
  </si>
  <si>
    <t>Alpha 2-4</t>
  </si>
  <si>
    <t>PAFE (CCICO reforma)</t>
  </si>
  <si>
    <t>Tasa 3,11%</t>
  </si>
  <si>
    <t>Para pensionados antes de 2024, se usa CNU al 2024</t>
  </si>
  <si>
    <t>* Prereforma</t>
  </si>
  <si>
    <t>* Post-reforma</t>
  </si>
  <si>
    <t>* Colectivo</t>
  </si>
  <si>
    <t>Tasa 2%</t>
  </si>
  <si>
    <t>CNU para bono EV (año y edad mujer)</t>
  </si>
  <si>
    <t>CNU nocional (unisex con tasa nocional)</t>
  </si>
  <si>
    <t>No se calcula bonificación por hijo</t>
  </si>
  <si>
    <t>Perfiles típicos: año nacimiento 1957; 1979; 2005</t>
  </si>
  <si>
    <t>Bajo</t>
  </si>
  <si>
    <t>Medio</t>
  </si>
  <si>
    <t>Alto</t>
  </si>
  <si>
    <t>Densidad cotización hombres</t>
  </si>
  <si>
    <t>Densidad cotización mujeres</t>
  </si>
  <si>
    <t>Remuneración en UF</t>
  </si>
  <si>
    <t>Saldo con reforma</t>
  </si>
  <si>
    <t>Años</t>
  </si>
  <si>
    <t>UF/
año</t>
  </si>
  <si>
    <t>Años de afiliación</t>
  </si>
  <si>
    <t>Años cot topados</t>
  </si>
  <si>
    <t>Garantía [UF]</t>
  </si>
  <si>
    <t>CNU CCICO</t>
  </si>
  <si>
    <t>SUPUESTOS DE RENTABILIDAD</t>
  </si>
  <si>
    <t>Edad 2024</t>
  </si>
  <si>
    <t>Parte colectiva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</si>
</sst>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0.00000"/>
    <numFmt numFmtId="165" formatCode="0.0000"/>
    <numFmt numFmtId="166" formatCode="\U\F\ #,##0.0;[Red]\U\F\ \-#,##0.0"/>
    <numFmt numFmtId="167" formatCode="0.0"/>
    <numFmt numFmtId="168" formatCode="_ * #,##0.0_ ;_ * \-#,##0.0_ ;_ * &quot;-&quot;_ ;_ @_ "/>
    <numFmt numFmtId="169" formatCode="0.0%"/>
    <numFmt numFmtId="170" formatCode="_ * #,##0.0000_ ;_ * \-#,##0.0000_ ;_ * &quot;-&quot;????_ ;_ @_ "/>
    <numFmt numFmtId="171" formatCode="_ * #,##0.00_ ;_ * \-#,##0.00_ ;_ * &quot;-&quot;_ ;_ @_ "/>
    <numFmt numFmtId="172" formatCode="_ * #,##0.0_ ;_ * \-#,##0.0_ ;_ * &quot;-&quot;?_ ;_ @_ "/>
    <numFmt numFmtId="173" formatCode="#,##0_ ;\-#,##0\ "/>
    <numFmt numFmtId="174" formatCode="_ * #,##0.00000_ ;_ * \-#,##0.00000_ ;_ * &quot;-&quot;_ ;_ @_ "/>
    <numFmt numFmtId="175" formatCode="_ * #,##0.00_ ;_ * \-#,##0.00_ ;_ * &quot;-&quot;?_ ;_ @_ "/>
    <numFmt numFmtId="176" formatCode="_ * #,##0.000_ ;_ * \-#,##0.000_ ;_ * &quot;-&quot;?_ ;_ @_ "/>
    <numFmt numFmtId="177" formatCode="0.000"/>
    <numFmt numFmtId="178" formatCode="0%;\-0;"/>
    <numFmt numFmtId="179" formatCode="0.00;\-0.00;0"/>
    <numFmt numFmtId="180" formatCode="0.00%;[Red]\-0.00%;0"/>
    <numFmt numFmtId="181" formatCode="#,##0;#,##0;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 tint="-0.249977111117893"/>
      <name val="Calibri"/>
      <family val="2"/>
      <scheme val="minor"/>
    </font>
    <font>
      <sz val="14"/>
      <color theme="0" tint="-0.1499984740745262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</font>
    <font>
      <sz val="14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sz val="10"/>
      <color rgb="FF3F3F76"/>
      <name val="Calibri"/>
      <family val="2"/>
      <scheme val="minor"/>
    </font>
    <font>
      <sz val="8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DF1E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7">
    <border>
      <left/>
      <right/>
      <top/>
      <bottom/>
      <diagonal/>
    </border>
    <border>
      <left style="double">
        <color theme="1"/>
      </left>
      <right/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 style="double">
        <color theme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tt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/>
      <right style="double">
        <color theme="1"/>
      </right>
      <top style="double">
        <color theme="1"/>
      </top>
      <bottom/>
      <diagonal/>
    </border>
    <border>
      <left/>
      <right style="double">
        <color theme="1"/>
      </right>
      <top/>
      <bottom/>
      <diagonal/>
    </border>
    <border>
      <left/>
      <right style="double">
        <color theme="1"/>
      </right>
      <top/>
      <bottom style="double">
        <color indexed="64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1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7" fillId="4" borderId="12" applyNumberFormat="0" applyAlignment="0" applyProtection="0"/>
    <xf numFmtId="0" fontId="12" fillId="0" borderId="0"/>
    <xf numFmtId="0" fontId="16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</cellStyleXfs>
  <cellXfs count="418">
    <xf numFmtId="0" fontId="0" fillId="0" borderId="0" xfId="0"/>
    <xf numFmtId="9" fontId="0" fillId="0" borderId="0" xfId="0" applyNumberFormat="1"/>
    <xf numFmtId="41" fontId="0" fillId="0" borderId="0" xfId="1" applyFont="1"/>
    <xf numFmtId="164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 wrapText="1"/>
    </xf>
    <xf numFmtId="168" fontId="0" fillId="0" borderId="0" xfId="1" applyNumberFormat="1" applyFont="1"/>
    <xf numFmtId="169" fontId="0" fillId="0" borderId="0" xfId="2" applyNumberFormat="1" applyFont="1"/>
    <xf numFmtId="0" fontId="0" fillId="2" borderId="0" xfId="0" applyFill="1"/>
    <xf numFmtId="0" fontId="4" fillId="2" borderId="0" xfId="0" applyFont="1" applyFill="1"/>
    <xf numFmtId="169" fontId="4" fillId="2" borderId="0" xfId="0" applyNumberFormat="1" applyFont="1" applyFill="1"/>
    <xf numFmtId="0" fontId="5" fillId="2" borderId="0" xfId="0" applyFont="1" applyFill="1"/>
    <xf numFmtId="9" fontId="4" fillId="2" borderId="0" xfId="0" applyNumberFormat="1" applyFont="1" applyFill="1"/>
    <xf numFmtId="4" fontId="4" fillId="2" borderId="0" xfId="0" applyNumberFormat="1" applyFont="1" applyFill="1"/>
    <xf numFmtId="10" fontId="4" fillId="2" borderId="0" xfId="0" applyNumberFormat="1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3" xfId="0" applyFill="1" applyBorder="1" applyAlignment="1">
      <alignment horizontal="center" vertical="center" wrapText="1"/>
    </xf>
    <xf numFmtId="0" fontId="4" fillId="2" borderId="5" xfId="0" applyFont="1" applyFill="1" applyBorder="1"/>
    <xf numFmtId="10" fontId="4" fillId="2" borderId="5" xfId="0" applyNumberFormat="1" applyFont="1" applyFill="1" applyBorder="1"/>
    <xf numFmtId="0" fontId="0" fillId="2" borderId="5" xfId="0" applyFill="1" applyBorder="1"/>
    <xf numFmtId="0" fontId="4" fillId="2" borderId="7" xfId="0" applyFont="1" applyFill="1" applyBorder="1"/>
    <xf numFmtId="0" fontId="2" fillId="2" borderId="6" xfId="0" applyFont="1" applyFill="1" applyBorder="1"/>
    <xf numFmtId="0" fontId="5" fillId="2" borderId="7" xfId="0" applyFont="1" applyFill="1" applyBorder="1"/>
    <xf numFmtId="0" fontId="0" fillId="2" borderId="7" xfId="0" applyFill="1" applyBorder="1"/>
    <xf numFmtId="0" fontId="3" fillId="2" borderId="7" xfId="0" applyFont="1" applyFill="1" applyBorder="1" applyAlignment="1">
      <alignment horizontal="center"/>
    </xf>
    <xf numFmtId="43" fontId="6" fillId="2" borderId="7" xfId="0" applyNumberFormat="1" applyFont="1" applyFill="1" applyBorder="1"/>
    <xf numFmtId="42" fontId="0" fillId="0" borderId="0" xfId="3" applyFont="1"/>
    <xf numFmtId="0" fontId="0" fillId="0" borderId="0" xfId="0" applyAlignment="1">
      <alignment horizontal="center"/>
    </xf>
    <xf numFmtId="0" fontId="8" fillId="3" borderId="8" xfId="0" applyFont="1" applyFill="1" applyBorder="1"/>
    <xf numFmtId="0" fontId="8" fillId="3" borderId="8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right"/>
    </xf>
    <xf numFmtId="41" fontId="8" fillId="3" borderId="8" xfId="1" applyFont="1" applyFill="1" applyBorder="1"/>
    <xf numFmtId="2" fontId="8" fillId="3" borderId="8" xfId="0" applyNumberFormat="1" applyFont="1" applyFill="1" applyBorder="1"/>
    <xf numFmtId="167" fontId="8" fillId="3" borderId="8" xfId="0" applyNumberFormat="1" applyFont="1" applyFill="1" applyBorder="1"/>
    <xf numFmtId="9" fontId="8" fillId="3" borderId="8" xfId="0" applyNumberFormat="1" applyFont="1" applyFill="1" applyBorder="1"/>
    <xf numFmtId="168" fontId="8" fillId="3" borderId="8" xfId="1" applyNumberFormat="1" applyFont="1" applyFill="1" applyBorder="1"/>
    <xf numFmtId="41" fontId="8" fillId="3" borderId="8" xfId="0" applyNumberFormat="1" applyFont="1" applyFill="1" applyBorder="1"/>
    <xf numFmtId="170" fontId="8" fillId="3" borderId="8" xfId="0" applyNumberFormat="1" applyFont="1" applyFill="1" applyBorder="1"/>
    <xf numFmtId="0" fontId="9" fillId="3" borderId="8" xfId="0" applyFont="1" applyFill="1" applyBorder="1"/>
    <xf numFmtId="169" fontId="7" fillId="4" borderId="12" xfId="4" applyNumberFormat="1"/>
    <xf numFmtId="169" fontId="4" fillId="2" borderId="0" xfId="2" applyNumberFormat="1" applyFont="1" applyFill="1"/>
    <xf numFmtId="0" fontId="2" fillId="0" borderId="0" xfId="0" applyFont="1"/>
    <xf numFmtId="41" fontId="8" fillId="0" borderId="8" xfId="0" applyNumberFormat="1" applyFont="1" applyBorder="1"/>
    <xf numFmtId="41" fontId="8" fillId="0" borderId="8" xfId="1" applyFont="1" applyFill="1" applyBorder="1"/>
    <xf numFmtId="0" fontId="12" fillId="0" borderId="0" xfId="5"/>
    <xf numFmtId="0" fontId="8" fillId="0" borderId="8" xfId="0" applyFont="1" applyBorder="1"/>
    <xf numFmtId="170" fontId="8" fillId="0" borderId="8" xfId="0" applyNumberFormat="1" applyFont="1" applyBorder="1"/>
    <xf numFmtId="9" fontId="0" fillId="0" borderId="0" xfId="2" applyFont="1"/>
    <xf numFmtId="9" fontId="11" fillId="0" borderId="0" xfId="2" applyFont="1" applyBorder="1" applyAlignment="1">
      <alignment horizontal="center"/>
    </xf>
    <xf numFmtId="0" fontId="11" fillId="0" borderId="0" xfId="0" applyFont="1" applyAlignment="1">
      <alignment horizontal="center"/>
    </xf>
    <xf numFmtId="41" fontId="8" fillId="6" borderId="8" xfId="1" applyFont="1" applyFill="1" applyBorder="1"/>
    <xf numFmtId="41" fontId="8" fillId="7" borderId="8" xfId="1" applyFont="1" applyFill="1" applyBorder="1"/>
    <xf numFmtId="41" fontId="8" fillId="6" borderId="8" xfId="0" applyNumberFormat="1" applyFont="1" applyFill="1" applyBorder="1"/>
    <xf numFmtId="41" fontId="8" fillId="7" borderId="8" xfId="0" applyNumberFormat="1" applyFont="1" applyFill="1" applyBorder="1"/>
    <xf numFmtId="41" fontId="8" fillId="7" borderId="17" xfId="1" applyFont="1" applyFill="1" applyBorder="1"/>
    <xf numFmtId="41" fontId="8" fillId="3" borderId="8" xfId="1" applyFont="1" applyFill="1" applyBorder="1" applyAlignment="1">
      <alignment horizontal="right"/>
    </xf>
    <xf numFmtId="0" fontId="8" fillId="3" borderId="8" xfId="0" applyFont="1" applyFill="1" applyBorder="1" applyAlignment="1">
      <alignment horizontal="center" vertical="center"/>
    </xf>
    <xf numFmtId="0" fontId="0" fillId="8" borderId="0" xfId="0" applyFill="1"/>
    <xf numFmtId="0" fontId="8" fillId="0" borderId="0" xfId="0" applyFont="1"/>
    <xf numFmtId="171" fontId="4" fillId="2" borderId="0" xfId="1" applyNumberFormat="1" applyFont="1" applyFill="1" applyBorder="1"/>
    <xf numFmtId="0" fontId="8" fillId="6" borderId="8" xfId="0" applyFont="1" applyFill="1" applyBorder="1"/>
    <xf numFmtId="0" fontId="8" fillId="0" borderId="8" xfId="0" applyFont="1" applyBorder="1" applyAlignment="1">
      <alignment horizontal="center" vertical="center"/>
    </xf>
    <xf numFmtId="9" fontId="8" fillId="0" borderId="8" xfId="0" applyNumberFormat="1" applyFont="1" applyBorder="1"/>
    <xf numFmtId="0" fontId="8" fillId="3" borderId="17" xfId="0" applyFont="1" applyFill="1" applyBorder="1"/>
    <xf numFmtId="41" fontId="8" fillId="3" borderId="17" xfId="1" applyFont="1" applyFill="1" applyBorder="1"/>
    <xf numFmtId="168" fontId="8" fillId="3" borderId="17" xfId="1" applyNumberFormat="1" applyFont="1" applyFill="1" applyBorder="1"/>
    <xf numFmtId="41" fontId="8" fillId="7" borderId="17" xfId="0" applyNumberFormat="1" applyFont="1" applyFill="1" applyBorder="1"/>
    <xf numFmtId="0" fontId="8" fillId="0" borderId="17" xfId="0" applyFont="1" applyBorder="1"/>
    <xf numFmtId="41" fontId="8" fillId="6" borderId="17" xfId="0" applyNumberFormat="1" applyFont="1" applyFill="1" applyBorder="1"/>
    <xf numFmtId="0" fontId="8" fillId="3" borderId="11" xfId="0" applyFont="1" applyFill="1" applyBorder="1"/>
    <xf numFmtId="0" fontId="8" fillId="6" borderId="11" xfId="0" applyFont="1" applyFill="1" applyBorder="1"/>
    <xf numFmtId="41" fontId="8" fillId="7" borderId="11" xfId="0" applyNumberFormat="1" applyFont="1" applyFill="1" applyBorder="1"/>
    <xf numFmtId="41" fontId="8" fillId="6" borderId="17" xfId="1" applyFont="1" applyFill="1" applyBorder="1"/>
    <xf numFmtId="41" fontId="8" fillId="10" borderId="11" xfId="0" applyNumberFormat="1" applyFont="1" applyFill="1" applyBorder="1"/>
    <xf numFmtId="41" fontId="8" fillId="10" borderId="8" xfId="0" applyNumberFormat="1" applyFont="1" applyFill="1" applyBorder="1"/>
    <xf numFmtId="0" fontId="0" fillId="6" borderId="0" xfId="0" applyFill="1"/>
    <xf numFmtId="168" fontId="0" fillId="0" borderId="0" xfId="0" applyNumberFormat="1"/>
    <xf numFmtId="3" fontId="0" fillId="0" borderId="0" xfId="0" applyNumberFormat="1"/>
    <xf numFmtId="0" fontId="0" fillId="11" borderId="0" xfId="0" applyFill="1"/>
    <xf numFmtId="0" fontId="13" fillId="0" borderId="0" xfId="0" applyFont="1"/>
    <xf numFmtId="0" fontId="2" fillId="0" borderId="0" xfId="0" applyFont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0" fontId="8" fillId="3" borderId="9" xfId="0" applyFont="1" applyFill="1" applyBorder="1"/>
    <xf numFmtId="0" fontId="8" fillId="3" borderId="10" xfId="0" applyFont="1" applyFill="1" applyBorder="1"/>
    <xf numFmtId="0" fontId="16" fillId="3" borderId="8" xfId="6" applyFill="1" applyBorder="1"/>
    <xf numFmtId="0" fontId="8" fillId="0" borderId="11" xfId="0" applyFont="1" applyBorder="1"/>
    <xf numFmtId="0" fontId="8" fillId="0" borderId="16" xfId="0" applyFont="1" applyBorder="1"/>
    <xf numFmtId="41" fontId="8" fillId="0" borderId="17" xfId="0" applyNumberFormat="1" applyFont="1" applyBorder="1"/>
    <xf numFmtId="41" fontId="8" fillId="10" borderId="16" xfId="0" applyNumberFormat="1" applyFont="1" applyFill="1" applyBorder="1"/>
    <xf numFmtId="41" fontId="8" fillId="10" borderId="17" xfId="0" applyNumberFormat="1" applyFont="1" applyFill="1" applyBorder="1"/>
    <xf numFmtId="41" fontId="8" fillId="0" borderId="17" xfId="1" applyFont="1" applyFill="1" applyBorder="1"/>
    <xf numFmtId="170" fontId="8" fillId="0" borderId="17" xfId="0" applyNumberFormat="1" applyFont="1" applyBorder="1"/>
    <xf numFmtId="0" fontId="8" fillId="3" borderId="18" xfId="0" applyFont="1" applyFill="1" applyBorder="1"/>
    <xf numFmtId="170" fontId="8" fillId="3" borderId="18" xfId="0" applyNumberFormat="1" applyFont="1" applyFill="1" applyBorder="1"/>
    <xf numFmtId="0" fontId="8" fillId="3" borderId="19" xfId="0" applyFont="1" applyFill="1" applyBorder="1"/>
    <xf numFmtId="0" fontId="8" fillId="0" borderId="14" xfId="0" applyFont="1" applyBorder="1"/>
    <xf numFmtId="0" fontId="8" fillId="0" borderId="19" xfId="0" applyFont="1" applyBorder="1"/>
    <xf numFmtId="41" fontId="8" fillId="0" borderId="19" xfId="0" applyNumberFormat="1" applyFont="1" applyBorder="1"/>
    <xf numFmtId="170" fontId="8" fillId="3" borderId="19" xfId="0" applyNumberFormat="1" applyFont="1" applyFill="1" applyBorder="1"/>
    <xf numFmtId="0" fontId="8" fillId="3" borderId="16" xfId="0" applyFont="1" applyFill="1" applyBorder="1"/>
    <xf numFmtId="170" fontId="8" fillId="3" borderId="17" xfId="0" applyNumberFormat="1" applyFont="1" applyFill="1" applyBorder="1"/>
    <xf numFmtId="165" fontId="8" fillId="3" borderId="17" xfId="0" applyNumberFormat="1" applyFont="1" applyFill="1" applyBorder="1"/>
    <xf numFmtId="0" fontId="8" fillId="3" borderId="20" xfId="0" applyFont="1" applyFill="1" applyBorder="1"/>
    <xf numFmtId="0" fontId="8" fillId="3" borderId="21" xfId="0" applyFont="1" applyFill="1" applyBorder="1"/>
    <xf numFmtId="0" fontId="8" fillId="3" borderId="22" xfId="0" applyFont="1" applyFill="1" applyBorder="1"/>
    <xf numFmtId="0" fontId="0" fillId="0" borderId="8" xfId="0" applyBorder="1"/>
    <xf numFmtId="0" fontId="8" fillId="0" borderId="8" xfId="0" applyFont="1" applyBorder="1" applyAlignment="1">
      <alignment horizontal="center"/>
    </xf>
    <xf numFmtId="0" fontId="0" fillId="3" borderId="8" xfId="0" applyFill="1" applyBorder="1" applyAlignment="1">
      <alignment horizontal="center" vertical="center"/>
    </xf>
    <xf numFmtId="41" fontId="8" fillId="3" borderId="13" xfId="1" applyFont="1" applyFill="1" applyBorder="1" applyAlignment="1">
      <alignment vertical="center" wrapText="1"/>
    </xf>
    <xf numFmtId="0" fontId="0" fillId="0" borderId="26" xfId="0" applyBorder="1"/>
    <xf numFmtId="0" fontId="14" fillId="12" borderId="0" xfId="0" applyFont="1" applyFill="1" applyAlignment="1">
      <alignment horizontal="center" vertical="center" wrapText="1"/>
    </xf>
    <xf numFmtId="0" fontId="14" fillId="18" borderId="0" xfId="0" applyFont="1" applyFill="1" applyAlignment="1">
      <alignment horizontal="center" vertical="center" wrapText="1"/>
    </xf>
    <xf numFmtId="0" fontId="17" fillId="18" borderId="0" xfId="0" applyFont="1" applyFill="1" applyAlignment="1">
      <alignment horizontal="center" vertical="center" wrapText="1"/>
    </xf>
    <xf numFmtId="0" fontId="18" fillId="12" borderId="0" xfId="0" applyFont="1" applyFill="1" applyAlignment="1">
      <alignment horizontal="center" vertical="center" wrapText="1"/>
    </xf>
    <xf numFmtId="168" fontId="14" fillId="12" borderId="0" xfId="0" applyNumberFormat="1" applyFont="1" applyFill="1" applyAlignment="1">
      <alignment horizontal="center" vertical="center" wrapText="1"/>
    </xf>
    <xf numFmtId="0" fontId="0" fillId="7" borderId="0" xfId="0" applyFill="1"/>
    <xf numFmtId="10" fontId="0" fillId="7" borderId="0" xfId="0" applyNumberFormat="1" applyFill="1"/>
    <xf numFmtId="164" fontId="0" fillId="7" borderId="0" xfId="0" applyNumberFormat="1" applyFill="1"/>
    <xf numFmtId="168" fontId="0" fillId="7" borderId="0" xfId="1" applyNumberFormat="1" applyFont="1" applyFill="1"/>
    <xf numFmtId="169" fontId="0" fillId="7" borderId="0" xfId="2" applyNumberFormat="1" applyFont="1" applyFill="1"/>
    <xf numFmtId="168" fontId="0" fillId="0" borderId="0" xfId="1" applyNumberFormat="1" applyFont="1" applyFill="1"/>
    <xf numFmtId="0" fontId="3" fillId="2" borderId="0" xfId="0" applyFont="1" applyFill="1" applyAlignment="1">
      <alignment horizontal="center"/>
    </xf>
    <xf numFmtId="1" fontId="0" fillId="6" borderId="0" xfId="0" applyNumberFormat="1" applyFill="1"/>
    <xf numFmtId="0" fontId="8" fillId="3" borderId="27" xfId="0" applyFont="1" applyFill="1" applyBorder="1"/>
    <xf numFmtId="41" fontId="8" fillId="3" borderId="27" xfId="1" applyFont="1" applyFill="1" applyBorder="1"/>
    <xf numFmtId="168" fontId="8" fillId="3" borderId="27" xfId="1" applyNumberFormat="1" applyFont="1" applyFill="1" applyBorder="1"/>
    <xf numFmtId="0" fontId="8" fillId="0" borderId="28" xfId="0" applyFont="1" applyBorder="1"/>
    <xf numFmtId="0" fontId="8" fillId="0" borderId="27" xfId="0" applyFont="1" applyBorder="1"/>
    <xf numFmtId="41" fontId="8" fillId="3" borderId="29" xfId="1" applyFont="1" applyFill="1" applyBorder="1"/>
    <xf numFmtId="10" fontId="0" fillId="6" borderId="0" xfId="0" applyNumberFormat="1" applyFill="1"/>
    <xf numFmtId="164" fontId="0" fillId="6" borderId="0" xfId="0" applyNumberFormat="1" applyFill="1"/>
    <xf numFmtId="168" fontId="0" fillId="6" borderId="0" xfId="1" applyNumberFormat="1" applyFont="1" applyFill="1"/>
    <xf numFmtId="169" fontId="0" fillId="6" borderId="0" xfId="2" applyNumberFormat="1" applyFont="1" applyFill="1"/>
    <xf numFmtId="10" fontId="0" fillId="6" borderId="0" xfId="2" applyNumberFormat="1" applyFont="1" applyFill="1"/>
    <xf numFmtId="0" fontId="8" fillId="3" borderId="29" xfId="0" applyFont="1" applyFill="1" applyBorder="1"/>
    <xf numFmtId="0" fontId="8" fillId="3" borderId="30" xfId="0" applyFont="1" applyFill="1" applyBorder="1"/>
    <xf numFmtId="0" fontId="8" fillId="0" borderId="30" xfId="0" applyFont="1" applyBorder="1"/>
    <xf numFmtId="41" fontId="8" fillId="6" borderId="30" xfId="0" applyNumberFormat="1" applyFont="1" applyFill="1" applyBorder="1"/>
    <xf numFmtId="41" fontId="8" fillId="6" borderId="30" xfId="1" applyFont="1" applyFill="1" applyBorder="1"/>
    <xf numFmtId="170" fontId="8" fillId="3" borderId="29" xfId="0" applyNumberFormat="1" applyFont="1" applyFill="1" applyBorder="1"/>
    <xf numFmtId="41" fontId="8" fillId="6" borderId="29" xfId="0" applyNumberFormat="1" applyFont="1" applyFill="1" applyBorder="1"/>
    <xf numFmtId="0" fontId="8" fillId="6" borderId="31" xfId="0" applyFont="1" applyFill="1" applyBorder="1"/>
    <xf numFmtId="0" fontId="8" fillId="6" borderId="30" xfId="0" applyFont="1" applyFill="1" applyBorder="1"/>
    <xf numFmtId="172" fontId="0" fillId="0" borderId="0" xfId="0" applyNumberFormat="1" applyAlignment="1">
      <alignment horizontal="center" vertical="center" wrapText="1"/>
    </xf>
    <xf numFmtId="41" fontId="8" fillId="0" borderId="0" xfId="1" applyFont="1" applyFill="1" applyBorder="1"/>
    <xf numFmtId="43" fontId="0" fillId="0" borderId="0" xfId="0" applyNumberFormat="1"/>
    <xf numFmtId="41" fontId="19" fillId="0" borderId="0" xfId="1" applyFont="1"/>
    <xf numFmtId="41" fontId="19" fillId="7" borderId="0" xfId="1" applyFont="1" applyFill="1"/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73" fontId="0" fillId="0" borderId="0" xfId="1" applyNumberFormat="1" applyFont="1"/>
    <xf numFmtId="0" fontId="0" fillId="0" borderId="0" xfId="0" applyAlignment="1">
      <alignment vertical="center" wrapText="1"/>
    </xf>
    <xf numFmtId="9" fontId="14" fillId="12" borderId="0" xfId="2" applyFont="1" applyFill="1" applyAlignment="1">
      <alignment horizontal="center" vertical="center" wrapText="1"/>
    </xf>
    <xf numFmtId="2" fontId="0" fillId="6" borderId="0" xfId="0" applyNumberFormat="1" applyFill="1"/>
    <xf numFmtId="41" fontId="20" fillId="6" borderId="0" xfId="1" applyFont="1" applyFill="1" applyBorder="1"/>
    <xf numFmtId="0" fontId="0" fillId="6" borderId="7" xfId="0" applyFill="1" applyBorder="1"/>
    <xf numFmtId="0" fontId="5" fillId="6" borderId="0" xfId="0" applyFont="1" applyFill="1"/>
    <xf numFmtId="0" fontId="4" fillId="6" borderId="7" xfId="0" applyFont="1" applyFill="1" applyBorder="1"/>
    <xf numFmtId="41" fontId="0" fillId="8" borderId="0" xfId="1" applyFont="1" applyFill="1"/>
    <xf numFmtId="0" fontId="0" fillId="5" borderId="0" xfId="0" applyFill="1"/>
    <xf numFmtId="166" fontId="4" fillId="6" borderId="0" xfId="0" applyNumberFormat="1" applyFont="1" applyFill="1"/>
    <xf numFmtId="41" fontId="0" fillId="24" borderId="0" xfId="1" applyFont="1" applyFill="1"/>
    <xf numFmtId="41" fontId="8" fillId="6" borderId="0" xfId="1" applyFont="1" applyFill="1"/>
    <xf numFmtId="41" fontId="8" fillId="19" borderId="0" xfId="1" applyFont="1" applyFill="1"/>
    <xf numFmtId="169" fontId="7" fillId="8" borderId="12" xfId="4" applyNumberFormat="1" applyFill="1"/>
    <xf numFmtId="10" fontId="7" fillId="8" borderId="12" xfId="4" applyNumberFormat="1" applyFill="1"/>
    <xf numFmtId="0" fontId="4" fillId="6" borderId="0" xfId="0" applyFont="1" applyFill="1"/>
    <xf numFmtId="173" fontId="8" fillId="3" borderId="8" xfId="1" applyNumberFormat="1" applyFont="1" applyFill="1" applyBorder="1"/>
    <xf numFmtId="1" fontId="0" fillId="0" borderId="0" xfId="0" applyNumberFormat="1"/>
    <xf numFmtId="169" fontId="8" fillId="3" borderId="8" xfId="0" applyNumberFormat="1" applyFont="1" applyFill="1" applyBorder="1"/>
    <xf numFmtId="172" fontId="8" fillId="3" borderId="8" xfId="0" applyNumberFormat="1" applyFont="1" applyFill="1" applyBorder="1"/>
    <xf numFmtId="10" fontId="8" fillId="3" borderId="8" xfId="2" applyNumberFormat="1" applyFont="1" applyFill="1" applyBorder="1"/>
    <xf numFmtId="174" fontId="8" fillId="3" borderId="8" xfId="0" applyNumberFormat="1" applyFont="1" applyFill="1" applyBorder="1"/>
    <xf numFmtId="10" fontId="8" fillId="0" borderId="17" xfId="2" applyNumberFormat="1" applyFont="1" applyBorder="1"/>
    <xf numFmtId="41" fontId="8" fillId="0" borderId="8" xfId="1" applyFont="1" applyBorder="1"/>
    <xf numFmtId="169" fontId="8" fillId="3" borderId="8" xfId="2" applyNumberFormat="1" applyFont="1" applyFill="1" applyBorder="1"/>
    <xf numFmtId="0" fontId="8" fillId="0" borderId="8" xfId="0" quotePrefix="1" applyFont="1" applyBorder="1"/>
    <xf numFmtId="41" fontId="8" fillId="10" borderId="32" xfId="0" applyNumberFormat="1" applyFont="1" applyFill="1" applyBorder="1"/>
    <xf numFmtId="169" fontId="8" fillId="26" borderId="17" xfId="2" applyNumberFormat="1" applyFont="1" applyFill="1" applyBorder="1"/>
    <xf numFmtId="41" fontId="8" fillId="7" borderId="16" xfId="0" applyNumberFormat="1" applyFont="1" applyFill="1" applyBorder="1"/>
    <xf numFmtId="0" fontId="8" fillId="3" borderId="9" xfId="0" applyFont="1" applyFill="1" applyBorder="1" applyAlignment="1">
      <alignment vertical="center"/>
    </xf>
    <xf numFmtId="0" fontId="8" fillId="3" borderId="10" xfId="0" applyFont="1" applyFill="1" applyBorder="1" applyAlignment="1">
      <alignment vertical="center"/>
    </xf>
    <xf numFmtId="0" fontId="0" fillId="3" borderId="0" xfId="0" applyFill="1"/>
    <xf numFmtId="0" fontId="15" fillId="13" borderId="10" xfId="0" applyFont="1" applyFill="1" applyBorder="1" applyAlignment="1">
      <alignment horizontal="center" vertical="center"/>
    </xf>
    <xf numFmtId="0" fontId="15" fillId="13" borderId="11" xfId="0" applyFont="1" applyFill="1" applyBorder="1" applyAlignment="1">
      <alignment horizontal="center" vertical="center"/>
    </xf>
    <xf numFmtId="41" fontId="8" fillId="7" borderId="33" xfId="0" applyNumberFormat="1" applyFont="1" applyFill="1" applyBorder="1"/>
    <xf numFmtId="0" fontId="8" fillId="26" borderId="8" xfId="0" applyFont="1" applyFill="1" applyBorder="1"/>
    <xf numFmtId="41" fontId="8" fillId="6" borderId="19" xfId="1" applyFont="1" applyFill="1" applyBorder="1"/>
    <xf numFmtId="41" fontId="8" fillId="6" borderId="27" xfId="1" applyFont="1" applyFill="1" applyBorder="1"/>
    <xf numFmtId="41" fontId="8" fillId="6" borderId="29" xfId="1" applyFont="1" applyFill="1" applyBorder="1"/>
    <xf numFmtId="41" fontId="8" fillId="6" borderId="19" xfId="0" applyNumberFormat="1" applyFont="1" applyFill="1" applyBorder="1"/>
    <xf numFmtId="41" fontId="8" fillId="6" borderId="27" xfId="0" applyNumberFormat="1" applyFont="1" applyFill="1" applyBorder="1"/>
    <xf numFmtId="2" fontId="1" fillId="28" borderId="8" xfId="8" applyNumberFormat="1" applyBorder="1"/>
    <xf numFmtId="2" fontId="1" fillId="29" borderId="8" xfId="9" applyNumberFormat="1" applyBorder="1"/>
    <xf numFmtId="0" fontId="8" fillId="3" borderId="29" xfId="0" applyFont="1" applyFill="1" applyBorder="1" applyAlignment="1">
      <alignment horizontal="center" vertical="center"/>
    </xf>
    <xf numFmtId="2" fontId="1" fillId="27" borderId="8" xfId="7" applyNumberFormat="1" applyBorder="1"/>
    <xf numFmtId="2" fontId="1" fillId="30" borderId="8" xfId="10" applyNumberFormat="1" applyBorder="1"/>
    <xf numFmtId="0" fontId="0" fillId="3" borderId="8" xfId="0" applyFill="1" applyBorder="1"/>
    <xf numFmtId="41" fontId="8" fillId="10" borderId="33" xfId="1" applyFont="1" applyFill="1" applyBorder="1"/>
    <xf numFmtId="0" fontId="15" fillId="13" borderId="9" xfId="0" applyFont="1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41" fontId="8" fillId="18" borderId="17" xfId="0" applyNumberFormat="1" applyFont="1" applyFill="1" applyBorder="1"/>
    <xf numFmtId="41" fontId="8" fillId="10" borderId="17" xfId="1" applyFont="1" applyFill="1" applyBorder="1"/>
    <xf numFmtId="0" fontId="8" fillId="0" borderId="29" xfId="0" applyFont="1" applyBorder="1"/>
    <xf numFmtId="9" fontId="7" fillId="4" borderId="12" xfId="4" applyNumberFormat="1"/>
    <xf numFmtId="3" fontId="8" fillId="3" borderId="8" xfId="0" applyNumberFormat="1" applyFont="1" applyFill="1" applyBorder="1"/>
    <xf numFmtId="2" fontId="8" fillId="3" borderId="10" xfId="0" applyNumberFormat="1" applyFont="1" applyFill="1" applyBorder="1"/>
    <xf numFmtId="167" fontId="8" fillId="3" borderId="10" xfId="0" applyNumberFormat="1" applyFont="1" applyFill="1" applyBorder="1"/>
    <xf numFmtId="41" fontId="8" fillId="3" borderId="10" xfId="1" applyFont="1" applyFill="1" applyBorder="1"/>
    <xf numFmtId="0" fontId="8" fillId="3" borderId="10" xfId="0" applyFont="1" applyFill="1" applyBorder="1" applyAlignment="1">
      <alignment horizontal="right"/>
    </xf>
    <xf numFmtId="0" fontId="0" fillId="0" borderId="10" xfId="0" applyBorder="1"/>
    <xf numFmtId="0" fontId="8" fillId="3" borderId="14" xfId="0" applyFont="1" applyFill="1" applyBorder="1"/>
    <xf numFmtId="0" fontId="8" fillId="3" borderId="13" xfId="0" applyFont="1" applyFill="1" applyBorder="1"/>
    <xf numFmtId="0" fontId="8" fillId="3" borderId="36" xfId="0" applyFont="1" applyFill="1" applyBorder="1"/>
    <xf numFmtId="0" fontId="8" fillId="0" borderId="10" xfId="0" applyFont="1" applyBorder="1"/>
    <xf numFmtId="41" fontId="8" fillId="3" borderId="13" xfId="0" applyNumberFormat="1" applyFont="1" applyFill="1" applyBorder="1"/>
    <xf numFmtId="0" fontId="14" fillId="13" borderId="0" xfId="0" applyFont="1" applyFill="1" applyAlignment="1">
      <alignment horizontal="center" vertical="center"/>
    </xf>
    <xf numFmtId="175" fontId="0" fillId="7" borderId="0" xfId="0" applyNumberFormat="1" applyFill="1" applyAlignment="1">
      <alignment horizontal="center" vertical="center" wrapText="1"/>
    </xf>
    <xf numFmtId="175" fontId="0" fillId="9" borderId="0" xfId="0" applyNumberFormat="1" applyFill="1" applyAlignment="1">
      <alignment horizontal="center" vertical="center" wrapText="1"/>
    </xf>
    <xf numFmtId="175" fontId="0" fillId="32" borderId="0" xfId="0" applyNumberFormat="1" applyFill="1" applyAlignment="1">
      <alignment horizontal="center" vertical="center" wrapText="1"/>
    </xf>
    <xf numFmtId="176" fontId="0" fillId="33" borderId="0" xfId="0" applyNumberFormat="1" applyFill="1" applyAlignment="1">
      <alignment horizontal="center" vertical="center" wrapText="1"/>
    </xf>
    <xf numFmtId="176" fontId="0" fillId="34" borderId="0" xfId="0" applyNumberFormat="1" applyFill="1" applyAlignment="1">
      <alignment horizontal="center" vertical="center" wrapText="1"/>
    </xf>
    <xf numFmtId="176" fontId="0" fillId="35" borderId="0" xfId="0" applyNumberFormat="1" applyFill="1" applyAlignment="1">
      <alignment horizontal="center" vertical="center" wrapText="1"/>
    </xf>
    <xf numFmtId="176" fontId="0" fillId="36" borderId="0" xfId="0" applyNumberFormat="1" applyFill="1" applyAlignment="1">
      <alignment horizontal="center" vertical="center" wrapText="1"/>
    </xf>
    <xf numFmtId="175" fontId="0" fillId="18" borderId="0" xfId="0" applyNumberFormat="1" applyFill="1" applyAlignment="1">
      <alignment horizontal="center" vertical="center" wrapText="1"/>
    </xf>
    <xf numFmtId="175" fontId="0" fillId="19" borderId="0" xfId="0" applyNumberFormat="1" applyFill="1" applyAlignment="1">
      <alignment horizontal="center" vertical="center" wrapText="1"/>
    </xf>
    <xf numFmtId="175" fontId="0" fillId="6" borderId="0" xfId="0" applyNumberFormat="1" applyFill="1" applyAlignment="1">
      <alignment horizontal="center" vertical="center" wrapText="1"/>
    </xf>
    <xf numFmtId="167" fontId="8" fillId="3" borderId="38" xfId="0" applyNumberFormat="1" applyFont="1" applyFill="1" applyBorder="1"/>
    <xf numFmtId="167" fontId="8" fillId="3" borderId="39" xfId="0" applyNumberFormat="1" applyFont="1" applyFill="1" applyBorder="1"/>
    <xf numFmtId="167" fontId="8" fillId="3" borderId="40" xfId="0" applyNumberFormat="1" applyFont="1" applyFill="1" applyBorder="1"/>
    <xf numFmtId="167" fontId="8" fillId="3" borderId="41" xfId="0" applyNumberFormat="1" applyFont="1" applyFill="1" applyBorder="1"/>
    <xf numFmtId="0" fontId="8" fillId="3" borderId="17" xfId="0" applyFont="1" applyFill="1" applyBorder="1" applyAlignment="1">
      <alignment horizontal="right"/>
    </xf>
    <xf numFmtId="0" fontId="8" fillId="3" borderId="15" xfId="0" applyFont="1" applyFill="1" applyBorder="1"/>
    <xf numFmtId="167" fontId="8" fillId="3" borderId="42" xfId="0" applyNumberFormat="1" applyFont="1" applyFill="1" applyBorder="1"/>
    <xf numFmtId="167" fontId="8" fillId="3" borderId="43" xfId="0" applyNumberFormat="1" applyFont="1" applyFill="1" applyBorder="1"/>
    <xf numFmtId="0" fontId="8" fillId="3" borderId="40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8" fillId="3" borderId="23" xfId="0" applyFont="1" applyFill="1" applyBorder="1"/>
    <xf numFmtId="0" fontId="8" fillId="0" borderId="23" xfId="0" applyFont="1" applyBorder="1"/>
    <xf numFmtId="177" fontId="8" fillId="3" borderId="49" xfId="0" applyNumberFormat="1" applyFont="1" applyFill="1" applyBorder="1"/>
    <xf numFmtId="177" fontId="8" fillId="3" borderId="50" xfId="0" applyNumberFormat="1" applyFont="1" applyFill="1" applyBorder="1"/>
    <xf numFmtId="177" fontId="8" fillId="3" borderId="47" xfId="0" applyNumberFormat="1" applyFont="1" applyFill="1" applyBorder="1"/>
    <xf numFmtId="167" fontId="8" fillId="0" borderId="17" xfId="0" applyNumberFormat="1" applyFont="1" applyBorder="1"/>
    <xf numFmtId="177" fontId="8" fillId="0" borderId="45" xfId="0" applyNumberFormat="1" applyFont="1" applyBorder="1"/>
    <xf numFmtId="10" fontId="21" fillId="4" borderId="12" xfId="4" applyNumberFormat="1" applyFont="1"/>
    <xf numFmtId="3" fontId="8" fillId="0" borderId="17" xfId="0" applyNumberFormat="1" applyFont="1" applyBorder="1"/>
    <xf numFmtId="3" fontId="8" fillId="0" borderId="19" xfId="0" applyNumberFormat="1" applyFont="1" applyBorder="1"/>
    <xf numFmtId="3" fontId="8" fillId="0" borderId="33" xfId="0" applyNumberFormat="1" applyFont="1" applyBorder="1"/>
    <xf numFmtId="178" fontId="8" fillId="26" borderId="17" xfId="2" applyNumberFormat="1" applyFont="1" applyFill="1" applyBorder="1"/>
    <xf numFmtId="178" fontId="8" fillId="26" borderId="8" xfId="2" applyNumberFormat="1" applyFont="1" applyFill="1" applyBorder="1"/>
    <xf numFmtId="0" fontId="8" fillId="3" borderId="8" xfId="0" applyFont="1" applyFill="1" applyBorder="1" applyAlignment="1">
      <alignment horizontal="right" vertical="center"/>
    </xf>
    <xf numFmtId="9" fontId="8" fillId="3" borderId="8" xfId="0" applyNumberFormat="1" applyFont="1" applyFill="1" applyBorder="1" applyAlignment="1">
      <alignment horizontal="right"/>
    </xf>
    <xf numFmtId="1" fontId="7" fillId="4" borderId="12" xfId="4" applyNumberFormat="1" applyAlignment="1">
      <alignment horizontal="right"/>
    </xf>
    <xf numFmtId="173" fontId="8" fillId="0" borderId="8" xfId="1" applyNumberFormat="1" applyFont="1" applyFill="1" applyBorder="1"/>
    <xf numFmtId="41" fontId="8" fillId="8" borderId="17" xfId="0" applyNumberFormat="1" applyFont="1" applyFill="1" applyBorder="1"/>
    <xf numFmtId="0" fontId="0" fillId="34" borderId="0" xfId="0" applyFill="1"/>
    <xf numFmtId="0" fontId="12" fillId="34" borderId="0" xfId="5" applyFill="1"/>
    <xf numFmtId="179" fontId="0" fillId="34" borderId="0" xfId="0" applyNumberFormat="1" applyFill="1"/>
    <xf numFmtId="179" fontId="0" fillId="0" borderId="0" xfId="0" applyNumberFormat="1"/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37" borderId="0" xfId="0" applyFill="1" applyAlignment="1">
      <alignment horizontal="centerContinuous"/>
    </xf>
    <xf numFmtId="180" fontId="0" fillId="0" borderId="0" xfId="2" applyNumberFormat="1" applyFont="1"/>
    <xf numFmtId="0" fontId="0" fillId="9" borderId="52" xfId="0" applyFill="1" applyBorder="1"/>
    <xf numFmtId="10" fontId="0" fillId="9" borderId="52" xfId="0" applyNumberFormat="1" applyFill="1" applyBorder="1"/>
    <xf numFmtId="41" fontId="8" fillId="31" borderId="17" xfId="1" applyFont="1" applyFill="1" applyBorder="1"/>
    <xf numFmtId="168" fontId="8" fillId="0" borderId="19" xfId="1" applyNumberFormat="1" applyFont="1" applyFill="1" applyBorder="1"/>
    <xf numFmtId="173" fontId="8" fillId="0" borderId="33" xfId="1" applyNumberFormat="1" applyFont="1" applyFill="1" applyBorder="1"/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2" fillId="36" borderId="0" xfId="0" applyFont="1" applyFill="1" applyAlignment="1">
      <alignment horizontal="center"/>
    </xf>
    <xf numFmtId="1" fontId="7" fillId="4" borderId="12" xfId="4" applyNumberFormat="1"/>
    <xf numFmtId="167" fontId="8" fillId="3" borderId="58" xfId="0" applyNumberFormat="1" applyFont="1" applyFill="1" applyBorder="1"/>
    <xf numFmtId="167" fontId="8" fillId="3" borderId="59" xfId="0" applyNumberFormat="1" applyFont="1" applyFill="1" applyBorder="1"/>
    <xf numFmtId="167" fontId="23" fillId="3" borderId="34" xfId="0" applyNumberFormat="1" applyFont="1" applyFill="1" applyBorder="1"/>
    <xf numFmtId="167" fontId="23" fillId="3" borderId="35" xfId="0" applyNumberFormat="1" applyFont="1" applyFill="1" applyBorder="1"/>
    <xf numFmtId="167" fontId="8" fillId="0" borderId="11" xfId="0" applyNumberFormat="1" applyFont="1" applyBorder="1"/>
    <xf numFmtId="10" fontId="0" fillId="19" borderId="0" xfId="0" applyNumberFormat="1" applyFill="1"/>
    <xf numFmtId="0" fontId="17" fillId="13" borderId="0" xfId="0" applyFont="1" applyFill="1" applyAlignment="1">
      <alignment horizontal="center" vertical="center"/>
    </xf>
    <xf numFmtId="0" fontId="15" fillId="17" borderId="9" xfId="0" applyFont="1" applyFill="1" applyBorder="1"/>
    <xf numFmtId="0" fontId="15" fillId="17" borderId="10" xfId="0" applyFont="1" applyFill="1" applyBorder="1"/>
    <xf numFmtId="0" fontId="15" fillId="22" borderId="9" xfId="0" applyFont="1" applyFill="1" applyBorder="1"/>
    <xf numFmtId="0" fontId="15" fillId="22" borderId="10" xfId="0" applyFont="1" applyFill="1" applyBorder="1"/>
    <xf numFmtId="0" fontId="18" fillId="13" borderId="0" xfId="0" applyFont="1" applyFill="1" applyAlignment="1">
      <alignment horizontal="center" vertical="center" wrapText="1"/>
    </xf>
    <xf numFmtId="0" fontId="18" fillId="12" borderId="0" xfId="0" applyFont="1" applyFill="1" applyAlignment="1">
      <alignment horizontal="centerContinuous" vertical="center" wrapText="1"/>
    </xf>
    <xf numFmtId="41" fontId="9" fillId="3" borderId="8" xfId="1" applyFont="1" applyFill="1" applyBorder="1"/>
    <xf numFmtId="2" fontId="0" fillId="8" borderId="0" xfId="0" applyNumberFormat="1" applyFill="1"/>
    <xf numFmtId="41" fontId="15" fillId="25" borderId="9" xfId="1" applyFont="1" applyFill="1" applyBorder="1" applyAlignment="1">
      <alignment horizontal="centerContinuous" vertical="center"/>
    </xf>
    <xf numFmtId="41" fontId="15" fillId="25" borderId="10" xfId="1" applyFont="1" applyFill="1" applyBorder="1" applyAlignment="1">
      <alignment horizontal="centerContinuous" vertical="center"/>
    </xf>
    <xf numFmtId="41" fontId="15" fillId="25" borderId="11" xfId="1" applyFont="1" applyFill="1" applyBorder="1" applyAlignment="1">
      <alignment horizontal="centerContinuous" vertical="center"/>
    </xf>
    <xf numFmtId="0" fontId="2" fillId="9" borderId="7" xfId="0" applyFont="1" applyFill="1" applyBorder="1"/>
    <xf numFmtId="2" fontId="4" fillId="2" borderId="0" xfId="0" applyNumberFormat="1" applyFont="1" applyFill="1"/>
    <xf numFmtId="166" fontId="20" fillId="2" borderId="0" xfId="0" applyNumberFormat="1" applyFont="1" applyFill="1"/>
    <xf numFmtId="166" fontId="20" fillId="2" borderId="7" xfId="0" applyNumberFormat="1" applyFont="1" applyFill="1" applyBorder="1"/>
    <xf numFmtId="0" fontId="0" fillId="0" borderId="26" xfId="0" applyBorder="1" applyAlignment="1">
      <alignment horizontal="right"/>
    </xf>
    <xf numFmtId="9" fontId="0" fillId="6" borderId="0" xfId="2" applyFont="1" applyFill="1"/>
    <xf numFmtId="0" fontId="15" fillId="17" borderId="9" xfId="0" applyFont="1" applyFill="1" applyBorder="1" applyAlignment="1">
      <alignment horizontal="centerContinuous"/>
    </xf>
    <xf numFmtId="0" fontId="15" fillId="17" borderId="10" xfId="0" applyFont="1" applyFill="1" applyBorder="1" applyAlignment="1">
      <alignment horizontal="centerContinuous"/>
    </xf>
    <xf numFmtId="0" fontId="0" fillId="2" borderId="60" xfId="0" applyFill="1" applyBorder="1"/>
    <xf numFmtId="0" fontId="0" fillId="2" borderId="61" xfId="0" applyFill="1" applyBorder="1"/>
    <xf numFmtId="0" fontId="0" fillId="2" borderId="62" xfId="0" applyFill="1" applyBorder="1"/>
    <xf numFmtId="0" fontId="10" fillId="2" borderId="61" xfId="0" applyFont="1" applyFill="1" applyBorder="1"/>
    <xf numFmtId="41" fontId="0" fillId="2" borderId="61" xfId="1" applyFont="1" applyFill="1" applyBorder="1"/>
    <xf numFmtId="0" fontId="0" fillId="2" borderId="63" xfId="0" applyFill="1" applyBorder="1"/>
    <xf numFmtId="0" fontId="15" fillId="13" borderId="9" xfId="0" applyFont="1" applyFill="1" applyBorder="1" applyAlignment="1">
      <alignment horizontal="centerContinuous" vertical="center"/>
    </xf>
    <xf numFmtId="0" fontId="15" fillId="13" borderId="10" xfId="0" applyFont="1" applyFill="1" applyBorder="1" applyAlignment="1">
      <alignment horizontal="centerContinuous" vertical="center"/>
    </xf>
    <xf numFmtId="0" fontId="15" fillId="13" borderId="11" xfId="0" applyFont="1" applyFill="1" applyBorder="1" applyAlignment="1">
      <alignment horizontal="centerContinuous" vertical="center"/>
    </xf>
    <xf numFmtId="0" fontId="15" fillId="16" borderId="9" xfId="0" applyFont="1" applyFill="1" applyBorder="1" applyAlignment="1">
      <alignment horizontal="centerContinuous"/>
    </xf>
    <xf numFmtId="0" fontId="15" fillId="16" borderId="10" xfId="0" applyFont="1" applyFill="1" applyBorder="1" applyAlignment="1">
      <alignment horizontal="centerContinuous"/>
    </xf>
    <xf numFmtId="0" fontId="15" fillId="16" borderId="11" xfId="0" applyFont="1" applyFill="1" applyBorder="1" applyAlignment="1">
      <alignment horizontal="centerContinuous"/>
    </xf>
    <xf numFmtId="0" fontId="8" fillId="19" borderId="8" xfId="0" applyFont="1" applyFill="1" applyBorder="1" applyAlignment="1">
      <alignment horizontal="centerContinuous" vertical="center"/>
    </xf>
    <xf numFmtId="0" fontId="15" fillId="22" borderId="9" xfId="0" applyFont="1" applyFill="1" applyBorder="1" applyAlignment="1">
      <alignment horizontal="centerContinuous"/>
    </xf>
    <xf numFmtId="0" fontId="15" fillId="22" borderId="10" xfId="0" applyFont="1" applyFill="1" applyBorder="1" applyAlignment="1">
      <alignment horizontal="centerContinuous"/>
    </xf>
    <xf numFmtId="3" fontId="0" fillId="36" borderId="56" xfId="0" applyNumberFormat="1" applyFill="1" applyBorder="1"/>
    <xf numFmtId="3" fontId="0" fillId="36" borderId="57" xfId="0" applyNumberFormat="1" applyFill="1" applyBorder="1"/>
    <xf numFmtId="0" fontId="8" fillId="36" borderId="26" xfId="0" applyFont="1" applyFill="1" applyBorder="1" applyAlignment="1">
      <alignment horizontal="center" vertical="center" wrapText="1"/>
    </xf>
    <xf numFmtId="3" fontId="8" fillId="36" borderId="0" xfId="0" applyNumberFormat="1" applyFont="1" applyFill="1"/>
    <xf numFmtId="3" fontId="8" fillId="36" borderId="0" xfId="0" quotePrefix="1" applyNumberFormat="1" applyFont="1" applyFill="1"/>
    <xf numFmtId="41" fontId="8" fillId="3" borderId="17" xfId="0" applyNumberFormat="1" applyFont="1" applyFill="1" applyBorder="1"/>
    <xf numFmtId="0" fontId="8" fillId="3" borderId="51" xfId="0" applyFont="1" applyFill="1" applyBorder="1" applyAlignment="1">
      <alignment horizontal="centerContinuous" vertical="center" wrapText="1"/>
    </xf>
    <xf numFmtId="0" fontId="8" fillId="3" borderId="48" xfId="0" applyFont="1" applyFill="1" applyBorder="1" applyAlignment="1">
      <alignment horizontal="centerContinuous" vertical="center" wrapText="1"/>
    </xf>
    <xf numFmtId="0" fontId="8" fillId="3" borderId="9" xfId="0" applyFont="1" applyFill="1" applyBorder="1" applyAlignment="1">
      <alignment horizontal="right"/>
    </xf>
    <xf numFmtId="0" fontId="8" fillId="3" borderId="29" xfId="0" applyFont="1" applyFill="1" applyBorder="1" applyAlignment="1">
      <alignment horizontal="right"/>
    </xf>
    <xf numFmtId="0" fontId="8" fillId="3" borderId="44" xfId="0" applyFont="1" applyFill="1" applyBorder="1" applyAlignment="1">
      <alignment horizontal="right"/>
    </xf>
    <xf numFmtId="181" fontId="0" fillId="0" borderId="53" xfId="0" applyNumberFormat="1" applyBorder="1"/>
    <xf numFmtId="181" fontId="8" fillId="0" borderId="53" xfId="0" applyNumberFormat="1" applyFont="1" applyBorder="1"/>
    <xf numFmtId="181" fontId="0" fillId="34" borderId="53" xfId="0" applyNumberFormat="1" applyFill="1" applyBorder="1"/>
    <xf numFmtId="181" fontId="0" fillId="0" borderId="37" xfId="0" applyNumberFormat="1" applyBorder="1"/>
    <xf numFmtId="181" fontId="8" fillId="0" borderId="37" xfId="0" applyNumberFormat="1" applyFont="1" applyBorder="1"/>
    <xf numFmtId="181" fontId="0" fillId="34" borderId="37" xfId="0" applyNumberFormat="1" applyFill="1" applyBorder="1"/>
    <xf numFmtId="3" fontId="9" fillId="36" borderId="64" xfId="0" applyNumberFormat="1" applyFont="1" applyFill="1" applyBorder="1"/>
    <xf numFmtId="181" fontId="2" fillId="0" borderId="65" xfId="0" applyNumberFormat="1" applyFont="1" applyBorder="1"/>
    <xf numFmtId="181" fontId="2" fillId="0" borderId="66" xfId="0" applyNumberFormat="1" applyFont="1" applyBorder="1"/>
    <xf numFmtId="41" fontId="0" fillId="0" borderId="0" xfId="0" applyNumberFormat="1"/>
    <xf numFmtId="0" fontId="24" fillId="0" borderId="51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53" xfId="0" applyFont="1" applyBorder="1" applyAlignment="1">
      <alignment horizontal="center"/>
    </xf>
    <xf numFmtId="0" fontId="24" fillId="0" borderId="37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 wrapText="1"/>
    </xf>
    <xf numFmtId="0" fontId="8" fillId="19" borderId="8" xfId="0" applyFont="1" applyFill="1" applyBorder="1" applyAlignment="1">
      <alignment horizontal="center" vertical="center"/>
    </xf>
    <xf numFmtId="0" fontId="8" fillId="18" borderId="8" xfId="0" applyFont="1" applyFill="1" applyBorder="1" applyAlignment="1">
      <alignment horizontal="center" vertical="center"/>
    </xf>
    <xf numFmtId="0" fontId="15" fillId="14" borderId="8" xfId="0" applyFont="1" applyFill="1" applyBorder="1" applyAlignment="1">
      <alignment horizontal="center" vertical="center"/>
    </xf>
    <xf numFmtId="9" fontId="8" fillId="20" borderId="19" xfId="0" applyNumberFormat="1" applyFont="1" applyFill="1" applyBorder="1" applyAlignment="1">
      <alignment horizontal="center" vertical="center" wrapText="1"/>
    </xf>
    <xf numFmtId="9" fontId="8" fillId="20" borderId="17" xfId="0" applyNumberFormat="1" applyFont="1" applyFill="1" applyBorder="1" applyAlignment="1">
      <alignment horizontal="center" vertical="center" wrapText="1"/>
    </xf>
    <xf numFmtId="0" fontId="8" fillId="20" borderId="13" xfId="0" applyFont="1" applyFill="1" applyBorder="1" applyAlignment="1">
      <alignment horizontal="center" vertical="center" wrapText="1"/>
    </xf>
    <xf numFmtId="0" fontId="8" fillId="20" borderId="14" xfId="0" applyFont="1" applyFill="1" applyBorder="1" applyAlignment="1">
      <alignment horizontal="center" vertical="center" wrapText="1"/>
    </xf>
    <xf numFmtId="0" fontId="8" fillId="20" borderId="15" xfId="0" applyFont="1" applyFill="1" applyBorder="1" applyAlignment="1">
      <alignment horizontal="center" vertical="center" wrapText="1"/>
    </xf>
    <xf numFmtId="0" fontId="8" fillId="20" borderId="16" xfId="0" applyFont="1" applyFill="1" applyBorder="1" applyAlignment="1">
      <alignment horizontal="center" vertical="center" wrapText="1"/>
    </xf>
    <xf numFmtId="41" fontId="8" fillId="21" borderId="13" xfId="1" applyFont="1" applyFill="1" applyBorder="1" applyAlignment="1">
      <alignment horizontal="center" vertical="center" wrapText="1"/>
    </xf>
    <xf numFmtId="41" fontId="8" fillId="21" borderId="14" xfId="1" applyFont="1" applyFill="1" applyBorder="1" applyAlignment="1">
      <alignment horizontal="center" vertical="center" wrapText="1"/>
    </xf>
    <xf numFmtId="41" fontId="8" fillId="21" borderId="24" xfId="1" applyFont="1" applyFill="1" applyBorder="1" applyAlignment="1">
      <alignment horizontal="center" vertical="center" wrapText="1"/>
    </xf>
    <xf numFmtId="41" fontId="8" fillId="21" borderId="25" xfId="1" applyFont="1" applyFill="1" applyBorder="1" applyAlignment="1">
      <alignment horizontal="center" vertical="center" wrapText="1"/>
    </xf>
    <xf numFmtId="41" fontId="8" fillId="21" borderId="15" xfId="1" applyFont="1" applyFill="1" applyBorder="1" applyAlignment="1">
      <alignment horizontal="center" vertical="center" wrapText="1"/>
    </xf>
    <xf numFmtId="41" fontId="8" fillId="21" borderId="16" xfId="1" applyFont="1" applyFill="1" applyBorder="1" applyAlignment="1">
      <alignment horizontal="center" vertical="center" wrapText="1"/>
    </xf>
    <xf numFmtId="0" fontId="15" fillId="12" borderId="13" xfId="0" applyFont="1" applyFill="1" applyBorder="1" applyAlignment="1">
      <alignment horizontal="center" vertical="center"/>
    </xf>
    <xf numFmtId="0" fontId="15" fillId="12" borderId="14" xfId="0" applyFont="1" applyFill="1" applyBorder="1" applyAlignment="1">
      <alignment horizontal="center" vertical="center"/>
    </xf>
    <xf numFmtId="0" fontId="15" fillId="12" borderId="15" xfId="0" applyFont="1" applyFill="1" applyBorder="1" applyAlignment="1">
      <alignment horizontal="center" vertical="center"/>
    </xf>
    <xf numFmtId="0" fontId="15" fillId="12" borderId="16" xfId="0" applyFont="1" applyFill="1" applyBorder="1" applyAlignment="1">
      <alignment horizontal="center" vertical="center"/>
    </xf>
    <xf numFmtId="41" fontId="8" fillId="23" borderId="9" xfId="1" applyFont="1" applyFill="1" applyBorder="1" applyAlignment="1">
      <alignment horizontal="center"/>
    </xf>
    <xf numFmtId="41" fontId="8" fillId="23" borderId="10" xfId="1" applyFont="1" applyFill="1" applyBorder="1" applyAlignment="1">
      <alignment horizontal="center"/>
    </xf>
    <xf numFmtId="41" fontId="8" fillId="23" borderId="11" xfId="1" applyFont="1" applyFill="1" applyBorder="1" applyAlignment="1">
      <alignment horizontal="center"/>
    </xf>
    <xf numFmtId="0" fontId="8" fillId="21" borderId="13" xfId="0" applyFont="1" applyFill="1" applyBorder="1" applyAlignment="1">
      <alignment vertical="center" wrapText="1"/>
    </xf>
    <xf numFmtId="0" fontId="8" fillId="21" borderId="14" xfId="0" applyFont="1" applyFill="1" applyBorder="1" applyAlignment="1">
      <alignment vertical="center" wrapText="1"/>
    </xf>
    <xf numFmtId="0" fontId="8" fillId="21" borderId="15" xfId="0" applyFont="1" applyFill="1" applyBorder="1" applyAlignment="1">
      <alignment vertical="center" wrapText="1"/>
    </xf>
    <xf numFmtId="0" fontId="8" fillId="21" borderId="16" xfId="0" applyFont="1" applyFill="1" applyBorder="1" applyAlignment="1">
      <alignment vertical="center" wrapText="1"/>
    </xf>
    <xf numFmtId="0" fontId="15" fillId="12" borderId="19" xfId="0" applyFont="1" applyFill="1" applyBorder="1" applyAlignment="1">
      <alignment horizontal="center" vertical="center"/>
    </xf>
    <xf numFmtId="0" fontId="15" fillId="12" borderId="23" xfId="0" applyFont="1" applyFill="1" applyBorder="1" applyAlignment="1">
      <alignment horizontal="center" vertical="center"/>
    </xf>
    <xf numFmtId="0" fontId="15" fillId="12" borderId="17" xfId="0" applyFont="1" applyFill="1" applyBorder="1" applyAlignment="1">
      <alignment horizontal="center" vertical="center"/>
    </xf>
    <xf numFmtId="0" fontId="15" fillId="14" borderId="13" xfId="0" applyFont="1" applyFill="1" applyBorder="1" applyAlignment="1">
      <alignment horizontal="center" vertical="center" wrapText="1"/>
    </xf>
    <xf numFmtId="0" fontId="15" fillId="14" borderId="14" xfId="0" applyFont="1" applyFill="1" applyBorder="1" applyAlignment="1">
      <alignment horizontal="center" vertical="center" wrapText="1"/>
    </xf>
    <xf numFmtId="0" fontId="15" fillId="14" borderId="15" xfId="0" applyFont="1" applyFill="1" applyBorder="1" applyAlignment="1">
      <alignment horizontal="center" vertical="center" wrapText="1"/>
    </xf>
    <xf numFmtId="0" fontId="15" fillId="14" borderId="16" xfId="0" applyFont="1" applyFill="1" applyBorder="1" applyAlignment="1">
      <alignment horizontal="center" vertical="center" wrapText="1"/>
    </xf>
    <xf numFmtId="0" fontId="8" fillId="20" borderId="19" xfId="0" applyFont="1" applyFill="1" applyBorder="1" applyAlignment="1">
      <alignment horizontal="center" vertical="center" wrapText="1"/>
    </xf>
    <xf numFmtId="0" fontId="8" fillId="20" borderId="17" xfId="0" applyFont="1" applyFill="1" applyBorder="1" applyAlignment="1">
      <alignment horizontal="center" vertical="center" wrapText="1"/>
    </xf>
    <xf numFmtId="0" fontId="8" fillId="18" borderId="13" xfId="0" applyFont="1" applyFill="1" applyBorder="1" applyAlignment="1">
      <alignment horizontal="center" vertical="center"/>
    </xf>
    <xf numFmtId="0" fontId="8" fillId="18" borderId="14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horizontal="center" vertical="center"/>
    </xf>
    <xf numFmtId="0" fontId="8" fillId="18" borderId="16" xfId="0" applyFont="1" applyFill="1" applyBorder="1" applyAlignment="1">
      <alignment horizontal="center" vertical="center"/>
    </xf>
    <xf numFmtId="0" fontId="8" fillId="18" borderId="13" xfId="0" applyFont="1" applyFill="1" applyBorder="1" applyAlignment="1">
      <alignment horizontal="center" vertical="center" wrapText="1"/>
    </xf>
    <xf numFmtId="0" fontId="8" fillId="18" borderId="14" xfId="0" applyFont="1" applyFill="1" applyBorder="1" applyAlignment="1">
      <alignment horizontal="center" vertical="center" wrapText="1"/>
    </xf>
    <xf numFmtId="0" fontId="8" fillId="18" borderId="15" xfId="0" applyFont="1" applyFill="1" applyBorder="1" applyAlignment="1">
      <alignment horizontal="center" vertical="center" wrapText="1"/>
    </xf>
    <xf numFmtId="0" fontId="8" fillId="18" borderId="16" xfId="0" applyFont="1" applyFill="1" applyBorder="1" applyAlignment="1">
      <alignment horizontal="center" vertical="center" wrapText="1"/>
    </xf>
    <xf numFmtId="0" fontId="15" fillId="16" borderId="9" xfId="0" applyFont="1" applyFill="1" applyBorder="1" applyAlignment="1">
      <alignment horizontal="center"/>
    </xf>
    <xf numFmtId="0" fontId="15" fillId="16" borderId="10" xfId="0" applyFont="1" applyFill="1" applyBorder="1" applyAlignment="1">
      <alignment horizontal="center"/>
    </xf>
    <xf numFmtId="0" fontId="15" fillId="16" borderId="11" xfId="0" applyFont="1" applyFill="1" applyBorder="1" applyAlignment="1">
      <alignment horizontal="center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3" xfId="0" applyFont="1" applyFill="1" applyBorder="1" applyAlignment="1">
      <alignment horizontal="center" vertical="center" wrapText="1"/>
    </xf>
    <xf numFmtId="0" fontId="15" fillId="12" borderId="17" xfId="0" applyFont="1" applyFill="1" applyBorder="1" applyAlignment="1">
      <alignment horizontal="center" vertical="center" wrapText="1"/>
    </xf>
    <xf numFmtId="0" fontId="15" fillId="12" borderId="19" xfId="0" applyFont="1" applyFill="1" applyBorder="1" applyAlignment="1">
      <alignment horizontal="center" vertical="center" textRotation="90" wrapText="1"/>
    </xf>
    <xf numFmtId="0" fontId="15" fillId="12" borderId="23" xfId="0" applyFont="1" applyFill="1" applyBorder="1" applyAlignment="1">
      <alignment horizontal="center" vertical="center" textRotation="90" wrapText="1"/>
    </xf>
    <xf numFmtId="0" fontId="15" fillId="12" borderId="17" xfId="0" applyFont="1" applyFill="1" applyBorder="1" applyAlignment="1">
      <alignment horizontal="center" vertical="center" textRotation="90" wrapText="1"/>
    </xf>
    <xf numFmtId="0" fontId="15" fillId="12" borderId="19" xfId="0" applyFont="1" applyFill="1" applyBorder="1" applyAlignment="1">
      <alignment horizontal="center" vertical="center" textRotation="90"/>
    </xf>
    <xf numFmtId="0" fontId="15" fillId="12" borderId="23" xfId="0" applyFont="1" applyFill="1" applyBorder="1" applyAlignment="1">
      <alignment horizontal="center" vertical="center" textRotation="90"/>
    </xf>
    <xf numFmtId="0" fontId="15" fillId="12" borderId="17" xfId="0" applyFont="1" applyFill="1" applyBorder="1" applyAlignment="1">
      <alignment horizontal="center" vertical="center" textRotation="90"/>
    </xf>
    <xf numFmtId="0" fontId="8" fillId="21" borderId="19" xfId="0" applyFont="1" applyFill="1" applyBorder="1" applyAlignment="1">
      <alignment vertical="center" wrapText="1"/>
    </xf>
    <xf numFmtId="0" fontId="8" fillId="21" borderId="17" xfId="0" applyFont="1" applyFill="1" applyBorder="1" applyAlignment="1">
      <alignment vertical="center" wrapText="1"/>
    </xf>
    <xf numFmtId="0" fontId="8" fillId="15" borderId="19" xfId="0" applyFont="1" applyFill="1" applyBorder="1" applyAlignment="1">
      <alignment horizontal="center" vertical="center"/>
    </xf>
    <xf numFmtId="0" fontId="8" fillId="15" borderId="17" xfId="0" applyFont="1" applyFill="1" applyBorder="1" applyAlignment="1">
      <alignment horizontal="center" vertical="center"/>
    </xf>
    <xf numFmtId="0" fontId="8" fillId="21" borderId="13" xfId="0" applyFont="1" applyFill="1" applyBorder="1" applyAlignment="1">
      <alignment horizontal="center" vertical="center" wrapText="1"/>
    </xf>
    <xf numFmtId="0" fontId="8" fillId="21" borderId="14" xfId="0" applyFont="1" applyFill="1" applyBorder="1" applyAlignment="1">
      <alignment horizontal="center" vertical="center" wrapText="1"/>
    </xf>
    <xf numFmtId="0" fontId="8" fillId="21" borderId="15" xfId="0" applyFont="1" applyFill="1" applyBorder="1" applyAlignment="1">
      <alignment horizontal="center" vertical="center" wrapText="1"/>
    </xf>
    <xf numFmtId="0" fontId="8" fillId="21" borderId="16" xfId="0" applyFont="1" applyFill="1" applyBorder="1" applyAlignment="1">
      <alignment horizontal="center" vertical="center" wrapText="1"/>
    </xf>
    <xf numFmtId="0" fontId="15" fillId="14" borderId="8" xfId="0" applyFont="1" applyFill="1" applyBorder="1" applyAlignment="1">
      <alignment horizontal="center" vertical="center" wrapText="1"/>
    </xf>
    <xf numFmtId="0" fontId="8" fillId="18" borderId="8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14" fillId="13" borderId="0" xfId="0" applyFont="1" applyFill="1" applyAlignment="1">
      <alignment horizontal="center" vertical="center"/>
    </xf>
    <xf numFmtId="0" fontId="14" fillId="13" borderId="0" xfId="0" applyFont="1" applyFill="1" applyAlignment="1">
      <alignment horizontal="center" wrapText="1"/>
    </xf>
    <xf numFmtId="0" fontId="17" fillId="13" borderId="0" xfId="0" applyFont="1" applyFill="1" applyAlignment="1">
      <alignment horizontal="center" vertical="center" wrapText="1"/>
    </xf>
  </cellXfs>
  <cellStyles count="11">
    <cellStyle name="20% - Énfasis2" xfId="7" builtinId="34"/>
    <cellStyle name="20% - Énfasis3" xfId="8" builtinId="38"/>
    <cellStyle name="20% - Énfasis4" xfId="9" builtinId="42"/>
    <cellStyle name="20% - Énfasis6" xfId="10" builtinId="50"/>
    <cellStyle name="Entrada" xfId="4" builtinId="20"/>
    <cellStyle name="Hipervínculo" xfId="6" builtinId="8"/>
    <cellStyle name="Millares [0]" xfId="1" builtinId="6"/>
    <cellStyle name="Moneda [0]" xfId="3" builtinId="7"/>
    <cellStyle name="Normal" xfId="0" builtinId="0"/>
    <cellStyle name="Normal 2" xfId="5" xr:uid="{670CBD9D-E530-43EB-8120-C08385E0C218}"/>
    <cellStyle name="Porcentaje" xfId="2" builtinId="5"/>
  </cellStyles>
  <dxfs count="20">
    <dxf>
      <font>
        <b/>
        <i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border>
        <top style="thin">
          <color auto="1"/>
        </top>
        <vertical/>
        <horizontal/>
      </border>
    </dxf>
    <dxf>
      <font>
        <color theme="0" tint="-0.24994659260841701"/>
      </font>
    </dxf>
    <dxf>
      <font>
        <b/>
        <i val="0"/>
        <color theme="1"/>
      </font>
      <fill>
        <patternFill>
          <bgColor theme="9" tint="0.79998168889431442"/>
        </patternFill>
      </fill>
    </dxf>
    <dxf>
      <font>
        <b/>
        <i val="0"/>
        <color theme="1"/>
      </font>
      <fill>
        <patternFill>
          <fgColor auto="1"/>
          <bgColor theme="9" tint="0.79995117038483843"/>
        </patternFill>
      </fill>
    </dxf>
    <dxf>
      <font>
        <b/>
        <i val="0"/>
        <color theme="1"/>
      </font>
      <fill>
        <patternFill>
          <fgColor auto="1"/>
          <bgColor theme="9" tint="0.79995117038483843"/>
        </patternFill>
      </fill>
    </dxf>
    <dxf>
      <font>
        <b/>
        <i val="0"/>
        <color theme="1"/>
      </font>
      <fill>
        <patternFill>
          <bgColor theme="9" tint="0.79998168889431442"/>
        </patternFill>
      </fill>
    </dxf>
    <dxf>
      <font>
        <b/>
        <i val="0"/>
        <color theme="1"/>
      </font>
      <fill>
        <patternFill>
          <bgColor theme="9" tint="0.79998168889431442"/>
        </patternFill>
      </fill>
    </dxf>
    <dxf>
      <font>
        <b/>
        <i val="0"/>
        <color theme="1"/>
      </font>
      <fill>
        <patternFill>
          <fgColor auto="1"/>
          <bgColor theme="9" tint="0.7999511703848384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3" formatCode="#,##0_ ;\-#,##0\ "/>
    </dxf>
  </dxfs>
  <tableStyles count="0" defaultTableStyle="TableStyleMedium2" defaultPivotStyle="PivotStyleLight16"/>
  <colors>
    <mruColors>
      <color rgb="FF00359E"/>
      <color rgb="FFFDF1E9"/>
      <color rgb="FFFF5050"/>
      <color rgb="FFFFBDBD"/>
      <color rgb="FF993300"/>
      <color rgb="FFFF7C8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254000</xdr:colOff>
      <xdr:row>3</xdr:row>
      <xdr:rowOff>25400</xdr:rowOff>
    </xdr:from>
    <xdr:to>
      <xdr:col>7</xdr:col>
      <xdr:colOff>3521</xdr:colOff>
      <xdr:row>3</xdr:row>
      <xdr:rowOff>250190</xdr:rowOff>
    </xdr:to>
    <xdr:sp macro="" textlink="">
      <xdr:nvSpPr>
        <xdr:cNvPr id="2049" name="ScrollBarANac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254000</xdr:colOff>
      <xdr:row>4</xdr:row>
      <xdr:rowOff>38100</xdr:rowOff>
    </xdr:from>
    <xdr:to>
      <xdr:col>6</xdr:col>
      <xdr:colOff>592166</xdr:colOff>
      <xdr:row>4</xdr:row>
      <xdr:rowOff>250189</xdr:rowOff>
    </xdr:to>
    <xdr:sp macro="" textlink="">
      <xdr:nvSpPr>
        <xdr:cNvPr id="2052" name="ScrollBarAfil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254000</xdr:colOff>
      <xdr:row>5</xdr:row>
      <xdr:rowOff>38100</xdr:rowOff>
    </xdr:from>
    <xdr:to>
      <xdr:col>4</xdr:col>
      <xdr:colOff>292466</xdr:colOff>
      <xdr:row>5</xdr:row>
      <xdr:rowOff>250190</xdr:rowOff>
    </xdr:to>
    <xdr:sp macro="" textlink="">
      <xdr:nvSpPr>
        <xdr:cNvPr id="2053" name="densidad" hidden="1">
          <a:extLst>
            <a:ext uri="{63B3BB69-23CF-44E3-9099-C40C66FF867C}">
              <a14:compatExt xmlns:a14="http://schemas.microsoft.com/office/drawing/2010/main" spid="_x0000_s2053"/>
            </a:ex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787400</xdr:colOff>
      <xdr:row>18</xdr:row>
      <xdr:rowOff>12700</xdr:rowOff>
    </xdr:from>
    <xdr:to>
      <xdr:col>4</xdr:col>
      <xdr:colOff>116610</xdr:colOff>
      <xdr:row>19</xdr:row>
      <xdr:rowOff>58421</xdr:rowOff>
    </xdr:to>
    <xdr:sp macro="" textlink="">
      <xdr:nvSpPr>
        <xdr:cNvPr id="2056" name="Cuidado1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787400</xdr:colOff>
      <xdr:row>19</xdr:row>
      <xdr:rowOff>0</xdr:rowOff>
    </xdr:from>
    <xdr:to>
      <xdr:col>4</xdr:col>
      <xdr:colOff>116610</xdr:colOff>
      <xdr:row>20</xdr:row>
      <xdr:rowOff>58419</xdr:rowOff>
    </xdr:to>
    <xdr:sp macro="" textlink="">
      <xdr:nvSpPr>
        <xdr:cNvPr id="2057" name="Cuidado2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76200</xdr:colOff>
      <xdr:row>11</xdr:row>
      <xdr:rowOff>63500</xdr:rowOff>
    </xdr:from>
    <xdr:to>
      <xdr:col>7</xdr:col>
      <xdr:colOff>287711</xdr:colOff>
      <xdr:row>12</xdr:row>
      <xdr:rowOff>21590</xdr:rowOff>
    </xdr:to>
    <xdr:sp macro="" textlink="">
      <xdr:nvSpPr>
        <xdr:cNvPr id="2058" name="Hijo1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76200</xdr:colOff>
      <xdr:row>12</xdr:row>
      <xdr:rowOff>76200</xdr:rowOff>
    </xdr:from>
    <xdr:to>
      <xdr:col>7</xdr:col>
      <xdr:colOff>287711</xdr:colOff>
      <xdr:row>13</xdr:row>
      <xdr:rowOff>20320</xdr:rowOff>
    </xdr:to>
    <xdr:sp macro="" textlink="">
      <xdr:nvSpPr>
        <xdr:cNvPr id="2060" name="Hijo2" hidden="1">
          <a:extLst>
            <a:ext uri="{63B3BB69-23CF-44E3-9099-C40C66FF867C}">
              <a14:compatExt xmlns:a14="http://schemas.microsoft.com/office/drawing/2010/main" spid="_x0000_s2060"/>
            </a:ex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76200</xdr:colOff>
      <xdr:row>13</xdr:row>
      <xdr:rowOff>76200</xdr:rowOff>
    </xdr:from>
    <xdr:to>
      <xdr:col>7</xdr:col>
      <xdr:colOff>287711</xdr:colOff>
      <xdr:row>14</xdr:row>
      <xdr:rowOff>20320</xdr:rowOff>
    </xdr:to>
    <xdr:sp macro="" textlink="">
      <xdr:nvSpPr>
        <xdr:cNvPr id="2061" name="Hijo3" hidden="1">
          <a:extLst>
            <a:ext uri="{63B3BB69-23CF-44E3-9099-C40C66FF867C}">
              <a14:compatExt xmlns:a14="http://schemas.microsoft.com/office/drawing/2010/main" spid="_x0000_s2061"/>
            </a:ex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38100</xdr:colOff>
      <xdr:row>11</xdr:row>
      <xdr:rowOff>25400</xdr:rowOff>
    </xdr:from>
    <xdr:to>
      <xdr:col>3</xdr:col>
      <xdr:colOff>635039</xdr:colOff>
      <xdr:row>12</xdr:row>
      <xdr:rowOff>59690</xdr:rowOff>
    </xdr:to>
    <xdr:sp macro="" textlink="">
      <xdr:nvSpPr>
        <xdr:cNvPr id="2063" name="HayHijo1" hidden="1">
          <a:extLst>
            <a:ext uri="{63B3BB69-23CF-44E3-9099-C40C66FF867C}">
              <a14:compatExt xmlns:a14="http://schemas.microsoft.com/office/drawing/2010/main" spid="_x0000_s2063"/>
            </a:ex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38100</xdr:colOff>
      <xdr:row>12</xdr:row>
      <xdr:rowOff>12700</xdr:rowOff>
    </xdr:from>
    <xdr:to>
      <xdr:col>3</xdr:col>
      <xdr:colOff>635039</xdr:colOff>
      <xdr:row>13</xdr:row>
      <xdr:rowOff>59690</xdr:rowOff>
    </xdr:to>
    <xdr:sp macro="" textlink="">
      <xdr:nvSpPr>
        <xdr:cNvPr id="2064" name="HayHijo2" hidden="1">
          <a:extLst>
            <a:ext uri="{63B3BB69-23CF-44E3-9099-C40C66FF867C}">
              <a14:compatExt xmlns:a14="http://schemas.microsoft.com/office/drawing/2010/main" spid="_x0000_s2064"/>
            </a:ex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50800</xdr:colOff>
      <xdr:row>15</xdr:row>
      <xdr:rowOff>25400</xdr:rowOff>
    </xdr:from>
    <xdr:to>
      <xdr:col>3</xdr:col>
      <xdr:colOff>632922</xdr:colOff>
      <xdr:row>16</xdr:row>
      <xdr:rowOff>58420</xdr:rowOff>
    </xdr:to>
    <xdr:sp macro="" textlink="">
      <xdr:nvSpPr>
        <xdr:cNvPr id="2065" name="HayHijo3" hidden="1">
          <a:extLst>
            <a:ext uri="{63B3BB69-23CF-44E3-9099-C40C66FF867C}">
              <a14:compatExt xmlns:a14="http://schemas.microsoft.com/office/drawing/2010/main" spid="_x0000_s2065"/>
            </a:ex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787400</xdr:colOff>
      <xdr:row>20</xdr:row>
      <xdr:rowOff>0</xdr:rowOff>
    </xdr:from>
    <xdr:to>
      <xdr:col>4</xdr:col>
      <xdr:colOff>116610</xdr:colOff>
      <xdr:row>21</xdr:row>
      <xdr:rowOff>58421</xdr:rowOff>
    </xdr:to>
    <xdr:sp macro="" textlink="">
      <xdr:nvSpPr>
        <xdr:cNvPr id="2066" name="Cuidado3" hidden="1">
          <a:extLst>
            <a:ext uri="{63B3BB69-23CF-44E3-9099-C40C66FF867C}">
              <a14:compatExt xmlns:a14="http://schemas.microsoft.com/office/drawing/2010/main" spid="_x0000_s2066"/>
            </a:ex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241300</xdr:colOff>
      <xdr:row>7</xdr:row>
      <xdr:rowOff>0</xdr:rowOff>
    </xdr:from>
    <xdr:to>
      <xdr:col>5</xdr:col>
      <xdr:colOff>140277</xdr:colOff>
      <xdr:row>7</xdr:row>
      <xdr:rowOff>228600</xdr:rowOff>
    </xdr:to>
    <xdr:sp macro="" textlink="">
      <xdr:nvSpPr>
        <xdr:cNvPr id="2070" name="edadretiro" hidden="1">
          <a:extLst>
            <a:ext uri="{63B3BB69-23CF-44E3-9099-C40C66FF867C}">
              <a14:compatExt xmlns:a14="http://schemas.microsoft.com/office/drawing/2010/main" spid="_x0000_s2070"/>
            </a:ex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38100</xdr:colOff>
      <xdr:row>15</xdr:row>
      <xdr:rowOff>38100</xdr:rowOff>
    </xdr:from>
    <xdr:to>
      <xdr:col>6</xdr:col>
      <xdr:colOff>515966</xdr:colOff>
      <xdr:row>15</xdr:row>
      <xdr:rowOff>254001</xdr:rowOff>
    </xdr:to>
    <xdr:sp macro="" textlink="">
      <xdr:nvSpPr>
        <xdr:cNvPr id="2071" name="lagunas" hidden="1">
          <a:extLst>
            <a:ext uri="{63B3BB69-23CF-44E3-9099-C40C66FF867C}">
              <a14:compatExt xmlns:a14="http://schemas.microsoft.com/office/drawing/2010/main" spid="_x0000_s2071"/>
            </a:ex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38100</xdr:colOff>
      <xdr:row>16</xdr:row>
      <xdr:rowOff>25400</xdr:rowOff>
    </xdr:from>
    <xdr:to>
      <xdr:col>4</xdr:col>
      <xdr:colOff>402128</xdr:colOff>
      <xdr:row>16</xdr:row>
      <xdr:rowOff>228600</xdr:rowOff>
    </xdr:to>
    <xdr:sp macro="" textlink="">
      <xdr:nvSpPr>
        <xdr:cNvPr id="2072" name="periodosCesantia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215900</xdr:colOff>
      <xdr:row>8</xdr:row>
      <xdr:rowOff>25400</xdr:rowOff>
    </xdr:from>
    <xdr:to>
      <xdr:col>6</xdr:col>
      <xdr:colOff>592166</xdr:colOff>
      <xdr:row>9</xdr:row>
      <xdr:rowOff>636</xdr:rowOff>
    </xdr:to>
    <xdr:sp macro="" textlink="">
      <xdr:nvSpPr>
        <xdr:cNvPr id="2073" name="Imponible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228600</xdr:colOff>
      <xdr:row>18</xdr:row>
      <xdr:rowOff>88900</xdr:rowOff>
    </xdr:from>
    <xdr:to>
      <xdr:col>7</xdr:col>
      <xdr:colOff>249728</xdr:colOff>
      <xdr:row>19</xdr:row>
      <xdr:rowOff>58421</xdr:rowOff>
    </xdr:to>
    <xdr:sp macro="" textlink="">
      <xdr:nvSpPr>
        <xdr:cNvPr id="2094" name="ComboBox1" hidden="1">
          <a:extLst>
            <a:ext uri="{63B3BB69-23CF-44E3-9099-C40C66FF867C}">
              <a14:compatExt xmlns:a14="http://schemas.microsoft.com/office/drawing/2010/main" spid="_x0000_s2094"/>
            </a:ex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228600</xdr:colOff>
      <xdr:row>19</xdr:row>
      <xdr:rowOff>63500</xdr:rowOff>
    </xdr:from>
    <xdr:to>
      <xdr:col>7</xdr:col>
      <xdr:colOff>249728</xdr:colOff>
      <xdr:row>20</xdr:row>
      <xdr:rowOff>38099</xdr:rowOff>
    </xdr:to>
    <xdr:sp macro="" textlink="">
      <xdr:nvSpPr>
        <xdr:cNvPr id="2095" name="ComboBox2" hidden="1">
          <a:extLst>
            <a:ext uri="{63B3BB69-23CF-44E3-9099-C40C66FF867C}">
              <a14:compatExt xmlns:a14="http://schemas.microsoft.com/office/drawing/2010/main" spid="_x0000_s2095"/>
            </a:ex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228600</xdr:colOff>
      <xdr:row>20</xdr:row>
      <xdr:rowOff>50800</xdr:rowOff>
    </xdr:from>
    <xdr:to>
      <xdr:col>7</xdr:col>
      <xdr:colOff>249728</xdr:colOff>
      <xdr:row>21</xdr:row>
      <xdr:rowOff>20321</xdr:rowOff>
    </xdr:to>
    <xdr:sp macro="" textlink="">
      <xdr:nvSpPr>
        <xdr:cNvPr id="2096" name="ComboBox3" hidden="1">
          <a:extLst>
            <a:ext uri="{63B3BB69-23CF-44E3-9099-C40C66FF867C}">
              <a14:compatExt xmlns:a14="http://schemas.microsoft.com/office/drawing/2010/main" spid="_x0000_s2096"/>
            </a:ex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25400</xdr:colOff>
      <xdr:row>21</xdr:row>
      <xdr:rowOff>88900</xdr:rowOff>
    </xdr:from>
    <xdr:to>
      <xdr:col>5</xdr:col>
      <xdr:colOff>254577</xdr:colOff>
      <xdr:row>22</xdr:row>
      <xdr:rowOff>62865</xdr:rowOff>
    </xdr:to>
    <xdr:sp macro="" textlink="">
      <xdr:nvSpPr>
        <xdr:cNvPr id="2097" name="Alpha" hidden="1">
          <a:extLst>
            <a:ext uri="{63B3BB69-23CF-44E3-9099-C40C66FF867C}">
              <a14:compatExt xmlns:a14="http://schemas.microsoft.com/office/drawing/2010/main" spid="_x0000_s2097"/>
            </a:ex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50800</xdr:colOff>
      <xdr:row>9</xdr:row>
      <xdr:rowOff>50800</xdr:rowOff>
    </xdr:from>
    <xdr:to>
      <xdr:col>4</xdr:col>
      <xdr:colOff>292466</xdr:colOff>
      <xdr:row>10</xdr:row>
      <xdr:rowOff>38099</xdr:rowOff>
    </xdr:to>
    <xdr:sp macro="" textlink="">
      <xdr:nvSpPr>
        <xdr:cNvPr id="2099" name="PGU1" hidden="1">
          <a:extLst>
            <a:ext uri="{63B3BB69-23CF-44E3-9099-C40C66FF867C}">
              <a14:compatExt xmlns:a14="http://schemas.microsoft.com/office/drawing/2010/main" spid="_x0000_s2099"/>
            </a:ex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292100</xdr:colOff>
      <xdr:row>9</xdr:row>
      <xdr:rowOff>50800</xdr:rowOff>
    </xdr:from>
    <xdr:to>
      <xdr:col>7</xdr:col>
      <xdr:colOff>210358</xdr:colOff>
      <xdr:row>10</xdr:row>
      <xdr:rowOff>20319</xdr:rowOff>
    </xdr:to>
    <xdr:sp macro="" textlink="">
      <xdr:nvSpPr>
        <xdr:cNvPr id="2101" name="SacarPafe1" hidden="1">
          <a:extLst>
            <a:ext uri="{63B3BB69-23CF-44E3-9099-C40C66FF867C}">
              <a14:compatExt xmlns:a14="http://schemas.microsoft.com/office/drawing/2010/main" spid="_x0000_s2101"/>
            </a:ex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63500</xdr:colOff>
      <xdr:row>23</xdr:row>
      <xdr:rowOff>38100</xdr:rowOff>
    </xdr:from>
    <xdr:to>
      <xdr:col>4</xdr:col>
      <xdr:colOff>288868</xdr:colOff>
      <xdr:row>24</xdr:row>
      <xdr:rowOff>20320</xdr:rowOff>
    </xdr:to>
    <xdr:sp macro="" textlink="">
      <xdr:nvSpPr>
        <xdr:cNvPr id="2102" name="ben_beta" hidden="1">
          <a:extLst>
            <a:ext uri="{63B3BB69-23CF-44E3-9099-C40C66FF867C}">
              <a14:compatExt xmlns:a14="http://schemas.microsoft.com/office/drawing/2010/main" spid="_x0000_s2102"/>
            </a:ex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63500</xdr:colOff>
      <xdr:row>24</xdr:row>
      <xdr:rowOff>50800</xdr:rowOff>
    </xdr:from>
    <xdr:to>
      <xdr:col>4</xdr:col>
      <xdr:colOff>192810</xdr:colOff>
      <xdr:row>25</xdr:row>
      <xdr:rowOff>20320</xdr:rowOff>
    </xdr:to>
    <xdr:sp macro="" textlink="">
      <xdr:nvSpPr>
        <xdr:cNvPr id="2103" name="ben_gamma" hidden="1">
          <a:extLst>
            <a:ext uri="{63B3BB69-23CF-44E3-9099-C40C66FF867C}">
              <a14:compatExt xmlns:a14="http://schemas.microsoft.com/office/drawing/2010/main" spid="_x0000_s2103"/>
            </a:ex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25400</xdr:colOff>
      <xdr:row>26</xdr:row>
      <xdr:rowOff>241300</xdr:rowOff>
    </xdr:from>
    <xdr:to>
      <xdr:col>4</xdr:col>
      <xdr:colOff>116610</xdr:colOff>
      <xdr:row>27</xdr:row>
      <xdr:rowOff>190499</xdr:rowOff>
    </xdr:to>
    <xdr:sp macro="" textlink="">
      <xdr:nvSpPr>
        <xdr:cNvPr id="2104" name="SpinButton1" hidden="1">
          <a:extLst>
            <a:ext uri="{63B3BB69-23CF-44E3-9099-C40C66FF867C}">
              <a14:compatExt xmlns:a14="http://schemas.microsoft.com/office/drawing/2010/main" spid="_x0000_s2104"/>
            </a:ex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38100</xdr:colOff>
      <xdr:row>29</xdr:row>
      <xdr:rowOff>0</xdr:rowOff>
    </xdr:from>
    <xdr:to>
      <xdr:col>4</xdr:col>
      <xdr:colOff>138200</xdr:colOff>
      <xdr:row>29</xdr:row>
      <xdr:rowOff>252096</xdr:rowOff>
    </xdr:to>
    <xdr:sp macro="" textlink="">
      <xdr:nvSpPr>
        <xdr:cNvPr id="2105" name="SpinButton2" hidden="1">
          <a:extLst>
            <a:ext uri="{63B3BB69-23CF-44E3-9099-C40C66FF867C}">
              <a14:compatExt xmlns:a14="http://schemas.microsoft.com/office/drawing/2010/main" spid="_x0000_s2105"/>
            </a:ex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165100</xdr:colOff>
      <xdr:row>35</xdr:row>
      <xdr:rowOff>63500</xdr:rowOff>
    </xdr:from>
    <xdr:to>
      <xdr:col>4</xdr:col>
      <xdr:colOff>591358</xdr:colOff>
      <xdr:row>36</xdr:row>
      <xdr:rowOff>634</xdr:rowOff>
    </xdr:to>
    <xdr:sp macro="" textlink="">
      <xdr:nvSpPr>
        <xdr:cNvPr id="2106" name="i_nocional" hidden="1">
          <a:extLst>
            <a:ext uri="{63B3BB69-23CF-44E3-9099-C40C66FF867C}">
              <a14:compatExt xmlns:a14="http://schemas.microsoft.com/office/drawing/2010/main" spid="_x0000_s2106"/>
            </a:ex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165100</xdr:colOff>
      <xdr:row>36</xdr:row>
      <xdr:rowOff>25400</xdr:rowOff>
    </xdr:from>
    <xdr:to>
      <xdr:col>4</xdr:col>
      <xdr:colOff>591358</xdr:colOff>
      <xdr:row>36</xdr:row>
      <xdr:rowOff>228600</xdr:rowOff>
    </xdr:to>
    <xdr:sp macro="" textlink="">
      <xdr:nvSpPr>
        <xdr:cNvPr id="2107" name="rent_futura" hidden="1">
          <a:extLst>
            <a:ext uri="{63B3BB69-23CF-44E3-9099-C40C66FF867C}">
              <a14:compatExt xmlns:a14="http://schemas.microsoft.com/office/drawing/2010/main" spid="_x0000_s2107"/>
            </a:ex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23812</xdr:colOff>
      <xdr:row>2</xdr:row>
      <xdr:rowOff>11906</xdr:rowOff>
    </xdr:from>
    <xdr:ext cx="7877285" cy="436786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636B7BE-BE9E-58D4-7713-E87A3B06AC9A}"/>
            </a:ext>
          </a:extLst>
        </xdr:cNvPr>
        <xdr:cNvSpPr txBox="1"/>
      </xdr:nvSpPr>
      <xdr:spPr>
        <a:xfrm>
          <a:off x="14227968" y="452437"/>
          <a:ext cx="7877285" cy="436786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L" sz="1100"/>
            <a:t>Para evaluar</a:t>
          </a:r>
          <a:r>
            <a:rPr lang="es-CL" sz="1100" baseline="0"/>
            <a:t> otros perfiles, se puede modificar el año de nacimiento, la remuneración en UF y la densidad de cotización.</a:t>
          </a:r>
        </a:p>
        <a:p>
          <a:r>
            <a:rPr lang="es-CL" sz="1100" baseline="0"/>
            <a:t>También se pueden modificar otros parámetros globales en esta hoja, o particulares de cada escenario, en cada hoja correspondiente.</a:t>
          </a:r>
          <a:endParaRPr lang="es-C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787400</xdr:colOff>
      <xdr:row>11</xdr:row>
      <xdr:rowOff>165100</xdr:rowOff>
    </xdr:from>
    <xdr:to>
      <xdr:col>9</xdr:col>
      <xdr:colOff>10272</xdr:colOff>
      <xdr:row>12</xdr:row>
      <xdr:rowOff>366554</xdr:rowOff>
    </xdr:to>
    <xdr:sp macro="" textlink="">
      <xdr:nvSpPr>
        <xdr:cNvPr id="7169" name="RandomGen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200-0000011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787400</xdr:colOff>
      <xdr:row>11</xdr:row>
      <xdr:rowOff>165100</xdr:rowOff>
    </xdr:from>
    <xdr:to>
      <xdr:col>9</xdr:col>
      <xdr:colOff>10272</xdr:colOff>
      <xdr:row>12</xdr:row>
      <xdr:rowOff>365284</xdr:rowOff>
    </xdr:to>
    <xdr:sp macro="" textlink="">
      <xdr:nvSpPr>
        <xdr:cNvPr id="2" name="RandomGen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 bwMode="auto">
        <a:xfrm>
          <a:off x="3663950" y="2298700"/>
          <a:ext cx="838200" cy="390684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787400</xdr:colOff>
      <xdr:row>11</xdr:row>
      <xdr:rowOff>165100</xdr:rowOff>
    </xdr:from>
    <xdr:to>
      <xdr:col>9</xdr:col>
      <xdr:colOff>10272</xdr:colOff>
      <xdr:row>12</xdr:row>
      <xdr:rowOff>365284</xdr:rowOff>
    </xdr:to>
    <xdr:sp macro="" textlink="">
      <xdr:nvSpPr>
        <xdr:cNvPr id="2" name="RandomGen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 bwMode="auto">
        <a:xfrm>
          <a:off x="3521075" y="2489200"/>
          <a:ext cx="843803" cy="390684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787400</xdr:colOff>
      <xdr:row>11</xdr:row>
      <xdr:rowOff>165100</xdr:rowOff>
    </xdr:from>
    <xdr:to>
      <xdr:col>9</xdr:col>
      <xdr:colOff>10272</xdr:colOff>
      <xdr:row>12</xdr:row>
      <xdr:rowOff>365284</xdr:rowOff>
    </xdr:to>
    <xdr:sp macro="" textlink="">
      <xdr:nvSpPr>
        <xdr:cNvPr id="2" name="RandomGen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 bwMode="auto">
        <a:xfrm>
          <a:off x="3521075" y="2489200"/>
          <a:ext cx="843803" cy="390684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165100</xdr:rowOff>
    </xdr:from>
    <xdr:to>
      <xdr:col>8</xdr:col>
      <xdr:colOff>372782</xdr:colOff>
      <xdr:row>13</xdr:row>
      <xdr:rowOff>-1</xdr:rowOff>
    </xdr:to>
    <xdr:sp macro="" textlink="">
      <xdr:nvSpPr>
        <xdr:cNvPr id="31745" name="RandomGen" hidden="1">
          <a:extLst>
            <a:ext uri="{63B3BB69-23CF-44E3-9099-C40C66FF867C}">
              <a14:compatExt xmlns:a14="http://schemas.microsoft.com/office/drawing/2010/main" spid="_x0000_s31745"/>
            </a:ext>
            <a:ext uri="{FF2B5EF4-FFF2-40B4-BE49-F238E27FC236}">
              <a16:creationId xmlns:a16="http://schemas.microsoft.com/office/drawing/2014/main" id="{00000000-0008-0000-0600-0000017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787400</xdr:colOff>
      <xdr:row>11</xdr:row>
      <xdr:rowOff>165100</xdr:rowOff>
    </xdr:from>
    <xdr:to>
      <xdr:col>9</xdr:col>
      <xdr:colOff>10272</xdr:colOff>
      <xdr:row>12</xdr:row>
      <xdr:rowOff>365284</xdr:rowOff>
    </xdr:to>
    <xdr:sp macro="" textlink="">
      <xdr:nvSpPr>
        <xdr:cNvPr id="3" name="RandomGen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3663950" y="2298700"/>
          <a:ext cx="838200" cy="390684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50E25A-39A3-4826-9229-7947C0E62918}" name="tb_ult_rem" displayName="tb_ult_rem" ref="H1:I3" totalsRowShown="0">
  <autoFilter ref="H1:I3" xr:uid="{C150E25A-39A3-4826-9229-7947C0E62918}"/>
  <tableColumns count="2">
    <tableColumn id="1" xr3:uid="{6FCC21B0-4677-49C7-B9F3-F080149FF649}" name="Sexo"/>
    <tableColumn id="2" xr3:uid="{FF60D974-0B29-4F61-AD9C-A374C26386B5}" name="Últ. Rem" dataDxfId="19" dataCellStyle="Millares [0]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Z61"/>
  <sheetViews>
    <sheetView zoomScale="80" zoomScaleNormal="80" workbookViewId="0">
      <pane xSplit="1" ySplit="4" topLeftCell="B27" activePane="bottomRight" state="frozen"/>
      <selection pane="topRight" activeCell="B1" sqref="B1"/>
      <selection pane="bottomLeft" activeCell="A5" sqref="A5"/>
      <selection pane="bottomRight" activeCell="O7" sqref="O7"/>
    </sheetView>
  </sheetViews>
  <sheetFormatPr baseColWidth="10" defaultColWidth="9.28515625" defaultRowHeight="15" x14ac:dyDescent="0.25"/>
  <cols>
    <col min="1" max="1" width="15.28515625" customWidth="1"/>
    <col min="2" max="2" width="65.28515625" customWidth="1"/>
    <col min="3" max="3" width="12" customWidth="1"/>
    <col min="4" max="4" width="15.28515625" bestFit="1" customWidth="1"/>
    <col min="5" max="5" width="12.28515625" bestFit="1" customWidth="1"/>
    <col min="6" max="7" width="9.28515625" bestFit="1" customWidth="1"/>
    <col min="8" max="8" width="10.28515625" bestFit="1" customWidth="1"/>
    <col min="10" max="10" width="29.85546875" customWidth="1"/>
    <col min="11" max="14" width="12.28515625" customWidth="1"/>
    <col min="15" max="15" width="30" bestFit="1" customWidth="1"/>
    <col min="16" max="17" width="13" customWidth="1"/>
    <col min="18" max="19" width="10.7109375" customWidth="1"/>
  </cols>
  <sheetData>
    <row r="1" spans="1:26" ht="15.75" thickTop="1" x14ac:dyDescent="0.25">
      <c r="A1" s="15"/>
      <c r="B1" s="16"/>
      <c r="C1" s="16"/>
      <c r="D1" s="16"/>
      <c r="E1" s="16"/>
      <c r="F1" s="16"/>
      <c r="G1" s="16"/>
      <c r="H1" s="300"/>
      <c r="J1" s="80" t="s">
        <v>152</v>
      </c>
      <c r="K1" s="77">
        <v>1979</v>
      </c>
      <c r="O1" s="80" t="s">
        <v>208</v>
      </c>
      <c r="P1" s="124">
        <v>2024</v>
      </c>
      <c r="Q1" t="s">
        <v>195</v>
      </c>
      <c r="Z1" s="43"/>
    </row>
    <row r="2" spans="1:26" ht="18.75" x14ac:dyDescent="0.3">
      <c r="A2" s="17"/>
      <c r="B2" s="123" t="s">
        <v>0</v>
      </c>
      <c r="C2" s="8"/>
      <c r="D2" s="8"/>
      <c r="E2" s="8"/>
      <c r="F2" s="8"/>
      <c r="G2" s="8"/>
      <c r="H2" s="301"/>
      <c r="J2" s="80" t="s">
        <v>282</v>
      </c>
      <c r="K2" s="155">
        <f>860000/UF</f>
        <v>23.802729619535512</v>
      </c>
      <c r="L2" s="2" t="str">
        <f>"("&amp;TEXT(Inputs!K2*UF,"0.000")&amp;")"</f>
        <v>(860.000)</v>
      </c>
      <c r="M2" s="2"/>
    </row>
    <row r="3" spans="1:26" ht="19.5" thickBot="1" x14ac:dyDescent="0.35">
      <c r="A3" s="23"/>
      <c r="B3" s="26"/>
      <c r="C3" s="26"/>
      <c r="D3" s="25"/>
      <c r="E3" s="25"/>
      <c r="F3" s="25"/>
      <c r="G3" s="25"/>
      <c r="H3" s="302"/>
      <c r="J3" s="80" t="s">
        <v>207</v>
      </c>
      <c r="K3" s="297">
        <v>0.57999999999999996</v>
      </c>
      <c r="S3" s="79"/>
    </row>
    <row r="4" spans="1:26" ht="22.5" customHeight="1" thickTop="1" x14ac:dyDescent="0.3">
      <c r="A4" s="343" t="s">
        <v>3</v>
      </c>
      <c r="B4" s="9" t="s">
        <v>1</v>
      </c>
      <c r="C4" s="9">
        <f>K1</f>
        <v>1979</v>
      </c>
      <c r="D4" s="8"/>
      <c r="E4" s="8"/>
      <c r="F4" s="8"/>
      <c r="G4" s="8"/>
      <c r="H4" s="301"/>
      <c r="K4" s="81"/>
      <c r="S4" s="79"/>
    </row>
    <row r="5" spans="1:26" ht="22.5" customHeight="1" x14ac:dyDescent="0.3">
      <c r="A5" s="343"/>
      <c r="B5" s="9" t="str">
        <f>CONCATENATE("Año de afiliación                         (Edad Afiliación: ",a_afil-a_nac,")")</f>
        <v>Año de afiliación                         (Edad Afiliación: 24)</v>
      </c>
      <c r="C5" s="9">
        <f>a_nac+24</f>
        <v>2003</v>
      </c>
      <c r="D5" s="8"/>
      <c r="E5" s="8"/>
      <c r="F5" s="8"/>
      <c r="G5" s="8"/>
      <c r="H5" s="301"/>
      <c r="J5" s="43" t="s">
        <v>276</v>
      </c>
    </row>
    <row r="6" spans="1:26" ht="22.5" customHeight="1" x14ac:dyDescent="0.3">
      <c r="A6" s="343"/>
      <c r="B6" s="9" t="str">
        <f>CONCATENATE("Densidad Cotización                 (",INT((edad_ret_h-a_afil+a_nac)*dens_cot*12)," Hombre-",INT((edad_ret_m-a_afil+a_nac)*dens_mujer*12)," Mujer)")</f>
        <v>Densidad Cotización                 (285 Hombre-285 Mujer)</v>
      </c>
      <c r="C6" s="10">
        <f>Inputs!K3</f>
        <v>0.57999999999999996</v>
      </c>
      <c r="D6" s="8"/>
      <c r="E6" s="8"/>
      <c r="F6" s="42">
        <f>Inputs!K3</f>
        <v>0.57999999999999996</v>
      </c>
      <c r="G6" s="8"/>
      <c r="H6" s="303">
        <v>500</v>
      </c>
      <c r="J6" s="111"/>
      <c r="K6" s="296" t="s">
        <v>277</v>
      </c>
      <c r="L6" s="296" t="s">
        <v>278</v>
      </c>
      <c r="M6" s="296" t="s">
        <v>279</v>
      </c>
    </row>
    <row r="7" spans="1:26" ht="22.5" customHeight="1" x14ac:dyDescent="0.3">
      <c r="A7" s="343"/>
      <c r="B7" s="9" t="str">
        <f>CONCATENATE("Edad retiro hombre                  (Año de retiro en ",a_nac+edad_ret_h,")")</f>
        <v>Edad retiro hombre                  (Año de retiro en 2044)</v>
      </c>
      <c r="C7" s="168">
        <v>65</v>
      </c>
      <c r="D7" s="9"/>
      <c r="E7" s="8"/>
      <c r="F7" s="8"/>
      <c r="G7" s="8"/>
      <c r="H7" s="301"/>
      <c r="J7" t="s">
        <v>206</v>
      </c>
      <c r="K7" s="2">
        <v>460000</v>
      </c>
      <c r="L7" s="2">
        <v>860000</v>
      </c>
      <c r="M7" s="2">
        <v>2000000</v>
      </c>
    </row>
    <row r="8" spans="1:26" ht="22.5" customHeight="1" x14ac:dyDescent="0.3">
      <c r="A8" s="343"/>
      <c r="B8" s="9" t="str">
        <f>CONCATENATE("Edad retiro mujer                      (Año de retiro en ",a_nac+edad_ret_m,")")</f>
        <v>Edad retiro mujer                      (Año de retiro en 2044)</v>
      </c>
      <c r="C8" s="168">
        <v>65</v>
      </c>
      <c r="D8" s="9"/>
      <c r="E8" s="8"/>
      <c r="F8" s="8"/>
      <c r="G8" s="8"/>
      <c r="H8" s="301"/>
      <c r="J8" t="s">
        <v>280</v>
      </c>
      <c r="K8" s="49">
        <v>0.3</v>
      </c>
      <c r="L8" s="49">
        <v>0.57999999999999996</v>
      </c>
      <c r="M8" s="49">
        <v>0.81</v>
      </c>
    </row>
    <row r="9" spans="1:26" ht="22.5" customHeight="1" x14ac:dyDescent="0.3">
      <c r="A9" s="343"/>
      <c r="B9" s="9" t="str">
        <f>CONCATENATE("Salario en UF (2024)                 (",TEXT(w_uf*UF,"_ $* #.##0_ )"))</f>
        <v>Salario en UF (2024)                 ( $860.000 )</v>
      </c>
      <c r="C9" s="61">
        <f>Inputs!K2</f>
        <v>23.802729619535512</v>
      </c>
      <c r="D9" s="8"/>
      <c r="E9" s="8"/>
      <c r="F9" s="8"/>
      <c r="G9" s="8"/>
      <c r="H9" s="304"/>
      <c r="J9" t="s">
        <v>281</v>
      </c>
      <c r="K9" s="49">
        <v>0.3</v>
      </c>
      <c r="L9" s="49">
        <v>0.49</v>
      </c>
      <c r="M9" s="49">
        <v>0.81</v>
      </c>
    </row>
    <row r="10" spans="1:26" ht="22.5" customHeight="1" thickBot="1" x14ac:dyDescent="0.35">
      <c r="A10" s="344"/>
      <c r="B10" s="22" t="str">
        <f>IF(con_PGU,"Cálculo con PGU","Sin PGU")</f>
        <v>Cálculo con PGU</v>
      </c>
      <c r="C10" s="27" t="b">
        <v>1</v>
      </c>
      <c r="D10" s="25"/>
      <c r="E10" s="25"/>
      <c r="F10" s="25"/>
      <c r="G10" s="25"/>
      <c r="H10" s="302"/>
    </row>
    <row r="11" spans="1:26" ht="22.5" customHeight="1" thickTop="1" x14ac:dyDescent="0.3">
      <c r="A11" s="18"/>
      <c r="B11" s="9"/>
      <c r="C11" s="9">
        <v>2003</v>
      </c>
      <c r="D11" s="8"/>
      <c r="E11" s="8"/>
      <c r="F11" s="8"/>
      <c r="G11" s="8"/>
      <c r="H11" s="301"/>
    </row>
    <row r="12" spans="1:26" ht="22.5" customHeight="1" x14ac:dyDescent="0.3">
      <c r="A12" s="343" t="s">
        <v>2</v>
      </c>
      <c r="B12" s="9" t="s">
        <v>4</v>
      </c>
      <c r="C12" s="11">
        <f>a_afil+1</f>
        <v>2004</v>
      </c>
      <c r="D12" s="77" t="b">
        <v>1</v>
      </c>
      <c r="E12" s="8"/>
      <c r="F12" s="8"/>
      <c r="G12" s="8"/>
      <c r="H12" s="301"/>
    </row>
    <row r="13" spans="1:26" ht="22.5" customHeight="1" x14ac:dyDescent="0.3">
      <c r="A13" s="343"/>
      <c r="B13" s="9" t="s">
        <v>5</v>
      </c>
      <c r="C13" s="11">
        <f>a_afil+3</f>
        <v>2006</v>
      </c>
      <c r="D13" s="77" t="b">
        <v>1</v>
      </c>
      <c r="E13" s="8"/>
      <c r="F13" s="8"/>
      <c r="G13" s="8"/>
      <c r="H13" s="301"/>
    </row>
    <row r="14" spans="1:26" ht="22.5" customHeight="1" thickBot="1" x14ac:dyDescent="0.35">
      <c r="A14" s="344"/>
      <c r="B14" s="22" t="s">
        <v>6</v>
      </c>
      <c r="C14" s="24">
        <f>a_afil+5</f>
        <v>2008</v>
      </c>
      <c r="D14" s="157" t="b">
        <v>0</v>
      </c>
      <c r="E14" s="25"/>
      <c r="F14" s="25"/>
      <c r="G14" s="25"/>
      <c r="H14" s="302"/>
    </row>
    <row r="15" spans="1:26" ht="22.5" customHeight="1" thickTop="1" x14ac:dyDescent="0.3">
      <c r="A15" s="18"/>
      <c r="B15" s="9"/>
      <c r="C15" s="9"/>
      <c r="D15" s="8"/>
      <c r="E15" s="8"/>
      <c r="F15" s="8"/>
      <c r="G15" s="8"/>
      <c r="H15" s="301"/>
    </row>
    <row r="16" spans="1:26" ht="22.5" customHeight="1" x14ac:dyDescent="0.3">
      <c r="A16" s="343" t="s">
        <v>15</v>
      </c>
      <c r="B16" s="9"/>
      <c r="C16" s="9"/>
      <c r="D16" s="8"/>
      <c r="E16" s="8"/>
      <c r="F16" s="8"/>
      <c r="G16" s="8"/>
      <c r="H16" s="301"/>
    </row>
    <row r="17" spans="1:8" ht="22.5" customHeight="1" thickBot="1" x14ac:dyDescent="0.35">
      <c r="A17" s="344"/>
      <c r="B17" s="22" t="s">
        <v>7</v>
      </c>
      <c r="C17" s="159">
        <v>5</v>
      </c>
      <c r="D17" s="292">
        <v>2028</v>
      </c>
      <c r="E17" s="292">
        <v>2033</v>
      </c>
      <c r="F17" s="25"/>
      <c r="G17" s="25"/>
      <c r="H17" s="302"/>
    </row>
    <row r="18" spans="1:8" ht="22.5" customHeight="1" thickTop="1" x14ac:dyDescent="0.3">
      <c r="A18" s="18"/>
      <c r="B18" s="9"/>
      <c r="C18" s="9"/>
      <c r="D18" s="8"/>
      <c r="E18" s="8"/>
      <c r="F18" s="8"/>
      <c r="G18" s="8"/>
      <c r="H18" s="301"/>
    </row>
    <row r="19" spans="1:8" ht="22.5" customHeight="1" x14ac:dyDescent="0.3">
      <c r="A19" s="343" t="s">
        <v>14</v>
      </c>
      <c r="B19" s="9" t="s">
        <v>8</v>
      </c>
      <c r="C19" s="158">
        <f>a_nac+54</f>
        <v>2033</v>
      </c>
      <c r="D19" s="77" t="b">
        <v>1</v>
      </c>
      <c r="E19" s="8"/>
      <c r="F19" s="8"/>
      <c r="G19" s="8"/>
      <c r="H19" s="301"/>
    </row>
    <row r="20" spans="1:8" ht="22.5" customHeight="1" x14ac:dyDescent="0.3">
      <c r="A20" s="343"/>
      <c r="B20" s="9" t="s">
        <v>9</v>
      </c>
      <c r="C20" s="158">
        <f>C19+1</f>
        <v>2034</v>
      </c>
      <c r="D20" s="77" t="b">
        <v>1</v>
      </c>
      <c r="E20" s="8"/>
      <c r="F20" s="8"/>
      <c r="G20" s="8"/>
      <c r="H20" s="301"/>
    </row>
    <row r="21" spans="1:8" ht="22.5" customHeight="1" thickBot="1" x14ac:dyDescent="0.35">
      <c r="A21" s="344"/>
      <c r="B21" s="22" t="s">
        <v>10</v>
      </c>
      <c r="C21" s="24">
        <f>C19+5</f>
        <v>2038</v>
      </c>
      <c r="D21" s="157" t="b">
        <v>0</v>
      </c>
      <c r="E21" s="25"/>
      <c r="F21" s="25"/>
      <c r="G21" s="25"/>
      <c r="H21" s="302"/>
    </row>
    <row r="22" spans="1:8" ht="22.5" customHeight="1" thickTop="1" x14ac:dyDescent="0.3">
      <c r="A22" s="18"/>
      <c r="B22" s="9"/>
      <c r="C22" s="9"/>
      <c r="D22" s="8"/>
      <c r="E22" s="8"/>
      <c r="F22" s="8"/>
      <c r="G22" s="8"/>
      <c r="H22" s="301"/>
    </row>
    <row r="23" spans="1:8" ht="22.5" customHeight="1" x14ac:dyDescent="0.3">
      <c r="A23" s="343" t="s">
        <v>11</v>
      </c>
      <c r="B23" s="9" t="s">
        <v>12</v>
      </c>
      <c r="C23" s="12">
        <v>0.7</v>
      </c>
      <c r="D23" s="8"/>
      <c r="E23" s="8"/>
      <c r="F23" s="8"/>
      <c r="G23" s="8"/>
      <c r="H23" s="301"/>
    </row>
    <row r="24" spans="1:8" ht="22.5" customHeight="1" x14ac:dyDescent="0.3">
      <c r="A24" s="343"/>
      <c r="B24" s="9" t="s">
        <v>18</v>
      </c>
      <c r="C24" s="293">
        <v>0.1</v>
      </c>
      <c r="D24" s="8"/>
      <c r="E24" s="8"/>
      <c r="F24" s="8"/>
      <c r="G24" s="8"/>
      <c r="H24" s="301"/>
    </row>
    <row r="25" spans="1:8" ht="22.5" customHeight="1" x14ac:dyDescent="0.3">
      <c r="A25" s="343"/>
      <c r="B25" s="9" t="s">
        <v>19</v>
      </c>
      <c r="C25" s="293">
        <v>0.1</v>
      </c>
      <c r="D25" s="8"/>
      <c r="E25" s="8"/>
      <c r="F25" s="8"/>
      <c r="G25" s="8"/>
      <c r="H25" s="301"/>
    </row>
    <row r="26" spans="1:8" ht="22.5" customHeight="1" x14ac:dyDescent="0.3">
      <c r="A26" s="343"/>
      <c r="B26" s="9" t="s">
        <v>13</v>
      </c>
      <c r="C26" s="12">
        <f>VLOOKUP(edad_ret_m,Parámetros!$Q$15:$R$20,2,FALSE)</f>
        <v>1</v>
      </c>
      <c r="D26" s="8"/>
      <c r="E26" s="8"/>
      <c r="F26" s="8"/>
      <c r="G26" s="8"/>
      <c r="H26" s="301"/>
    </row>
    <row r="27" spans="1:8" ht="22.5" customHeight="1" x14ac:dyDescent="0.3">
      <c r="A27" s="343"/>
      <c r="B27" s="9" t="s">
        <v>103</v>
      </c>
      <c r="C27" s="13">
        <v>122.6</v>
      </c>
      <c r="D27" s="8"/>
      <c r="E27" s="8"/>
      <c r="F27" s="8"/>
      <c r="G27" s="8"/>
      <c r="H27" s="301"/>
    </row>
    <row r="28" spans="1:8" ht="22.5" customHeight="1" x14ac:dyDescent="0.3">
      <c r="A28" s="343"/>
      <c r="B28" s="9" t="s">
        <v>155</v>
      </c>
      <c r="C28" s="13">
        <v>24</v>
      </c>
      <c r="D28" s="8"/>
      <c r="E28" s="8"/>
      <c r="F28" s="8"/>
      <c r="G28" s="8"/>
      <c r="H28" s="301"/>
    </row>
    <row r="29" spans="1:8" ht="22.5" customHeight="1" x14ac:dyDescent="0.3">
      <c r="A29" s="343"/>
      <c r="B29" s="9" t="s">
        <v>136</v>
      </c>
      <c r="C29" s="294">
        <f>VLOOKUP(2024,Parámetros!$A$3:$F$122,6,FALSE)/UF</f>
        <v>23.794162366722013</v>
      </c>
      <c r="D29" s="8"/>
      <c r="E29" s="8"/>
      <c r="F29" s="8"/>
      <c r="G29" s="8"/>
      <c r="H29" s="301"/>
    </row>
    <row r="30" spans="1:8" ht="22.5" customHeight="1" thickBot="1" x14ac:dyDescent="0.35">
      <c r="A30" s="344"/>
      <c r="B30" s="22" t="s">
        <v>137</v>
      </c>
      <c r="C30" s="295">
        <f>VLOOKUP(2024,Parámetros!$A$3:$F$122,6,FALSE)/UF</f>
        <v>23.794162366722013</v>
      </c>
      <c r="D30" s="25"/>
      <c r="E30" s="25"/>
      <c r="F30" s="25"/>
      <c r="G30" s="25"/>
      <c r="H30" s="302"/>
    </row>
    <row r="31" spans="1:8" ht="22.5" customHeight="1" thickTop="1" x14ac:dyDescent="0.3">
      <c r="A31" s="17"/>
      <c r="B31" s="9"/>
      <c r="C31" s="9"/>
      <c r="D31" s="8"/>
      <c r="E31" s="8"/>
      <c r="F31" s="8"/>
      <c r="G31" s="8"/>
      <c r="H31" s="301"/>
    </row>
    <row r="32" spans="1:8" ht="22.5" customHeight="1" x14ac:dyDescent="0.3">
      <c r="A32" s="343" t="s">
        <v>16</v>
      </c>
      <c r="B32" s="9" t="s">
        <v>235</v>
      </c>
      <c r="C32" s="162">
        <f>460000/UF</f>
        <v>12.731692587193413</v>
      </c>
      <c r="D32" s="8"/>
      <c r="E32" s="8"/>
      <c r="F32" s="8"/>
      <c r="G32" s="8"/>
      <c r="H32" s="301"/>
    </row>
    <row r="33" spans="1:8" ht="22.5" customHeight="1" x14ac:dyDescent="0.3">
      <c r="A33" s="343"/>
      <c r="B33" s="9" t="s">
        <v>236</v>
      </c>
      <c r="C33" s="162">
        <f>1131093/UF</f>
        <v>31.3059312250573</v>
      </c>
      <c r="D33" s="8" t="s">
        <v>237</v>
      </c>
      <c r="E33" s="8"/>
      <c r="F33" s="8"/>
      <c r="G33" s="8"/>
      <c r="H33" s="301"/>
    </row>
    <row r="34" spans="1:8" ht="22.5" customHeight="1" x14ac:dyDescent="0.3">
      <c r="A34" s="343"/>
      <c r="B34" s="9" t="s">
        <v>238</v>
      </c>
      <c r="C34" s="162">
        <f>849077/UF</f>
        <v>23.50040727577483</v>
      </c>
      <c r="D34" s="8" t="s">
        <v>239</v>
      </c>
      <c r="E34" s="8"/>
      <c r="F34" s="8"/>
      <c r="G34" s="8"/>
      <c r="H34" s="301"/>
    </row>
    <row r="35" spans="1:8" ht="22.5" customHeight="1" x14ac:dyDescent="0.3">
      <c r="A35" s="343"/>
      <c r="B35" s="9" t="s">
        <v>240</v>
      </c>
      <c r="C35" s="156">
        <v>36130.31</v>
      </c>
      <c r="D35" s="8"/>
      <c r="E35" s="8"/>
      <c r="F35" s="8"/>
      <c r="G35" s="8"/>
      <c r="H35" s="301"/>
    </row>
    <row r="36" spans="1:8" ht="22.5" customHeight="1" x14ac:dyDescent="0.3">
      <c r="A36" s="343"/>
      <c r="B36" s="9" t="s">
        <v>121</v>
      </c>
      <c r="C36" s="14">
        <v>0.02</v>
      </c>
      <c r="D36" s="8"/>
      <c r="E36" s="8"/>
      <c r="F36" s="8"/>
      <c r="G36" s="8"/>
      <c r="H36" s="301"/>
    </row>
    <row r="37" spans="1:8" ht="22.5" customHeight="1" thickBot="1" x14ac:dyDescent="0.35">
      <c r="A37" s="345"/>
      <c r="B37" s="19"/>
      <c r="C37" s="20"/>
      <c r="D37" s="21"/>
      <c r="E37" s="21"/>
      <c r="F37" s="21"/>
      <c r="G37" s="21"/>
      <c r="H37" s="305"/>
    </row>
    <row r="38" spans="1:8" ht="15.75" thickTop="1" x14ac:dyDescent="0.25"/>
    <row r="39" spans="1:8" x14ac:dyDescent="0.25">
      <c r="F39" s="82"/>
      <c r="G39" s="83"/>
    </row>
    <row r="40" spans="1:8" x14ac:dyDescent="0.25">
      <c r="B40" t="s">
        <v>127</v>
      </c>
    </row>
    <row r="41" spans="1:8" x14ac:dyDescent="0.25">
      <c r="B41" t="s">
        <v>128</v>
      </c>
    </row>
    <row r="42" spans="1:8" x14ac:dyDescent="0.25">
      <c r="B42" t="s">
        <v>275</v>
      </c>
    </row>
    <row r="45" spans="1:8" x14ac:dyDescent="0.25">
      <c r="B45" s="161" t="s">
        <v>129</v>
      </c>
      <c r="C45" s="161" t="s">
        <v>149</v>
      </c>
      <c r="D45" s="161" t="s">
        <v>146</v>
      </c>
      <c r="E45" s="161" t="s">
        <v>147</v>
      </c>
    </row>
    <row r="46" spans="1:8" x14ac:dyDescent="0.25">
      <c r="B46" s="59" t="s">
        <v>142</v>
      </c>
      <c r="C46" s="160">
        <v>206173</v>
      </c>
      <c r="D46" s="160">
        <v>702101</v>
      </c>
      <c r="E46" s="160">
        <v>1114446</v>
      </c>
    </row>
    <row r="47" spans="1:8" x14ac:dyDescent="0.25">
      <c r="B47" s="59" t="s">
        <v>148</v>
      </c>
      <c r="C47" s="160">
        <v>250000</v>
      </c>
      <c r="D47" s="160"/>
      <c r="E47" s="160"/>
    </row>
    <row r="61" spans="8:8" x14ac:dyDescent="0.25">
      <c r="H61" s="28"/>
    </row>
  </sheetData>
  <sheetProtection formatCells="0" formatColumns="0" formatRows="0" insertColumns="0" insertRows="0" insertHyperlinks="0" deleteColumns="0" deleteRows="0" sort="0" autoFilter="0" pivotTables="0"/>
  <protectedRanges>
    <protectedRange sqref="C3:C34 G40:H52 F40:F48 D3:E14 D16:E48 F3:H39 C36:C44" name="Rango1"/>
    <protectedRange sqref="C35" name="Rango1_1"/>
  </protectedRanges>
  <mergeCells count="6">
    <mergeCell ref="A12:A14"/>
    <mergeCell ref="A4:A10"/>
    <mergeCell ref="A23:A30"/>
    <mergeCell ref="A32:A37"/>
    <mergeCell ref="A16:A17"/>
    <mergeCell ref="A19:A21"/>
  </mergeCells>
  <conditionalFormatting sqref="C12">
    <cfRule type="expression" dxfId="18" priority="13">
      <formula>$D$12</formula>
    </cfRule>
  </conditionalFormatting>
  <conditionalFormatting sqref="C13">
    <cfRule type="expression" dxfId="17" priority="10">
      <formula>$D$13</formula>
    </cfRule>
  </conditionalFormatting>
  <conditionalFormatting sqref="C14">
    <cfRule type="expression" dxfId="16" priority="9">
      <formula>$D$14</formula>
    </cfRule>
  </conditionalFormatting>
  <conditionalFormatting sqref="C19">
    <cfRule type="expression" dxfId="15" priority="8">
      <formula>$D$19</formula>
    </cfRule>
  </conditionalFormatting>
  <conditionalFormatting sqref="C20">
    <cfRule type="expression" dxfId="14" priority="5">
      <formula>$D$20</formula>
    </cfRule>
  </conditionalFormatting>
  <conditionalFormatting sqref="C21">
    <cfRule type="expression" dxfId="13" priority="1">
      <formula>$D$14</formula>
    </cfRule>
  </conditionalFormatting>
  <pageMargins left="0.70866141732283472" right="0.70866141732283472" top="0.74803149606299213" bottom="0.74803149606299213" header="0.31496062992125984" footer="0.31496062992125984"/>
  <pageSetup scale="46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F0AA8-337F-4081-8F12-657E195BF802}">
  <sheetPr codeName="Hoja3"/>
  <dimension ref="A1:CH224"/>
  <sheetViews>
    <sheetView workbookViewId="0">
      <pane xSplit="2" ySplit="1" topLeftCell="C2" activePane="bottomRight" state="frozen"/>
      <selection activeCell="P37" sqref="P37"/>
      <selection pane="topRight" activeCell="P37" sqref="P37"/>
      <selection pane="bottomLeft" activeCell="P37" sqref="P37"/>
      <selection pane="bottomRight" activeCell="P37" sqref="P37"/>
    </sheetView>
  </sheetViews>
  <sheetFormatPr baseColWidth="10" defaultColWidth="9.28515625" defaultRowHeight="15" x14ac:dyDescent="0.25"/>
  <cols>
    <col min="1" max="16384" width="9.28515625" style="46"/>
  </cols>
  <sheetData>
    <row r="1" spans="1:86" x14ac:dyDescent="0.25">
      <c r="A1" t="s">
        <v>21</v>
      </c>
      <c r="B1" t="s">
        <v>22</v>
      </c>
      <c r="C1" s="257" t="s">
        <v>213</v>
      </c>
      <c r="D1" s="257" t="s">
        <v>214</v>
      </c>
      <c r="E1" s="257" t="s">
        <v>215</v>
      </c>
      <c r="F1" s="257" t="s">
        <v>216</v>
      </c>
      <c r="G1" s="257" t="s">
        <v>23</v>
      </c>
      <c r="H1" s="257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X1" t="s">
        <v>40</v>
      </c>
      <c r="Y1" t="s">
        <v>41</v>
      </c>
      <c r="Z1" t="s">
        <v>42</v>
      </c>
      <c r="AA1" t="s">
        <v>43</v>
      </c>
      <c r="AB1" t="s">
        <v>44</v>
      </c>
      <c r="AC1" t="s">
        <v>45</v>
      </c>
      <c r="AD1" t="s">
        <v>46</v>
      </c>
      <c r="AE1" t="s">
        <v>47</v>
      </c>
      <c r="AF1" t="s">
        <v>48</v>
      </c>
      <c r="AG1" t="s">
        <v>49</v>
      </c>
      <c r="AH1" t="s">
        <v>50</v>
      </c>
      <c r="AI1" t="s">
        <v>51</v>
      </c>
      <c r="AJ1" t="s">
        <v>52</v>
      </c>
      <c r="AK1" t="s">
        <v>53</v>
      </c>
      <c r="AL1" t="s">
        <v>54</v>
      </c>
      <c r="AM1" t="s">
        <v>55</v>
      </c>
      <c r="AN1" t="s">
        <v>56</v>
      </c>
      <c r="AO1" t="s">
        <v>57</v>
      </c>
      <c r="AP1" t="s">
        <v>58</v>
      </c>
      <c r="AQ1" t="s">
        <v>59</v>
      </c>
      <c r="AR1" t="s">
        <v>60</v>
      </c>
      <c r="AS1" t="s">
        <v>61</v>
      </c>
      <c r="AT1" t="s">
        <v>62</v>
      </c>
      <c r="AU1" t="s">
        <v>63</v>
      </c>
      <c r="AV1" t="s">
        <v>64</v>
      </c>
      <c r="AW1" t="s">
        <v>65</v>
      </c>
      <c r="AX1" t="s">
        <v>66</v>
      </c>
      <c r="AY1" t="s">
        <v>67</v>
      </c>
      <c r="AZ1" t="s">
        <v>68</v>
      </c>
      <c r="BA1" t="s">
        <v>69</v>
      </c>
      <c r="BB1" t="s">
        <v>70</v>
      </c>
      <c r="BC1" t="s">
        <v>71</v>
      </c>
      <c r="BD1" t="s">
        <v>72</v>
      </c>
      <c r="BE1" t="s">
        <v>73</v>
      </c>
      <c r="BF1" t="s">
        <v>74</v>
      </c>
      <c r="BG1" t="s">
        <v>75</v>
      </c>
      <c r="BH1" t="s">
        <v>76</v>
      </c>
      <c r="BI1" t="s">
        <v>77</v>
      </c>
      <c r="BJ1" t="s">
        <v>78</v>
      </c>
      <c r="BK1" t="s">
        <v>79</v>
      </c>
      <c r="BL1" t="s">
        <v>80</v>
      </c>
      <c r="BM1" t="s">
        <v>81</v>
      </c>
      <c r="BN1" t="s">
        <v>82</v>
      </c>
      <c r="BO1" t="s">
        <v>83</v>
      </c>
      <c r="BP1" t="s">
        <v>84</v>
      </c>
      <c r="BQ1" t="s">
        <v>85</v>
      </c>
      <c r="BR1" t="s">
        <v>86</v>
      </c>
      <c r="BS1" t="s">
        <v>87</v>
      </c>
      <c r="BT1" t="s">
        <v>88</v>
      </c>
      <c r="BU1" t="s">
        <v>89</v>
      </c>
      <c r="BV1" t="s">
        <v>90</v>
      </c>
      <c r="BW1" t="s">
        <v>91</v>
      </c>
      <c r="BX1" t="s">
        <v>92</v>
      </c>
      <c r="BY1" t="s">
        <v>93</v>
      </c>
      <c r="BZ1" t="s">
        <v>94</v>
      </c>
      <c r="CA1" t="s">
        <v>95</v>
      </c>
      <c r="CB1" t="s">
        <v>96</v>
      </c>
      <c r="CC1" t="s">
        <v>97</v>
      </c>
      <c r="CD1" t="s">
        <v>98</v>
      </c>
      <c r="CE1" t="s">
        <v>99</v>
      </c>
      <c r="CF1" t="s">
        <v>100</v>
      </c>
      <c r="CG1" t="s">
        <v>101</v>
      </c>
      <c r="CH1" t="s">
        <v>102</v>
      </c>
    </row>
    <row r="2" spans="1:86" x14ac:dyDescent="0.25">
      <c r="A2" s="170">
        <v>1</v>
      </c>
      <c r="B2" s="170">
        <v>1</v>
      </c>
      <c r="C2" s="259">
        <v>0</v>
      </c>
      <c r="D2" s="259">
        <v>0</v>
      </c>
      <c r="E2" s="259">
        <v>0</v>
      </c>
      <c r="F2" s="259">
        <v>0</v>
      </c>
      <c r="G2" s="259">
        <v>0</v>
      </c>
      <c r="H2" s="259">
        <v>0</v>
      </c>
      <c r="I2" s="260">
        <v>0</v>
      </c>
      <c r="J2" s="260">
        <v>0</v>
      </c>
      <c r="K2" s="260">
        <v>0</v>
      </c>
      <c r="L2" s="260">
        <v>0</v>
      </c>
      <c r="M2" s="260">
        <v>0</v>
      </c>
      <c r="N2" s="260">
        <v>0</v>
      </c>
      <c r="O2" s="260">
        <v>0</v>
      </c>
      <c r="P2" s="260">
        <v>0</v>
      </c>
      <c r="Q2" s="260">
        <v>0</v>
      </c>
      <c r="R2" s="260">
        <v>0</v>
      </c>
      <c r="S2" s="260">
        <v>0</v>
      </c>
      <c r="T2" s="260">
        <v>0</v>
      </c>
      <c r="U2" s="260">
        <v>0</v>
      </c>
      <c r="V2" s="260">
        <v>0</v>
      </c>
      <c r="W2" s="260">
        <v>0</v>
      </c>
      <c r="X2" s="260">
        <v>0</v>
      </c>
      <c r="Y2" s="260">
        <v>0</v>
      </c>
      <c r="Z2" s="260">
        <v>0</v>
      </c>
      <c r="AA2" s="260">
        <v>0</v>
      </c>
      <c r="AB2" s="260">
        <v>0</v>
      </c>
      <c r="AC2" s="260">
        <v>0</v>
      </c>
      <c r="AD2" s="260">
        <v>0</v>
      </c>
      <c r="AE2" s="260">
        <v>0</v>
      </c>
      <c r="AF2" s="260">
        <v>0</v>
      </c>
      <c r="AG2" s="260">
        <v>0</v>
      </c>
      <c r="AH2" s="260">
        <v>0</v>
      </c>
      <c r="AI2" s="260">
        <v>0</v>
      </c>
      <c r="AJ2" s="260">
        <v>0</v>
      </c>
      <c r="AK2" s="260">
        <v>0</v>
      </c>
      <c r="AL2" s="260">
        <v>0</v>
      </c>
      <c r="AM2" s="260">
        <v>0</v>
      </c>
      <c r="AN2" s="260">
        <v>0</v>
      </c>
      <c r="AO2" s="260">
        <v>0</v>
      </c>
      <c r="AP2" s="260">
        <v>0</v>
      </c>
      <c r="AQ2" s="260">
        <v>0</v>
      </c>
      <c r="AR2" s="260">
        <v>0</v>
      </c>
      <c r="AS2" s="260">
        <v>0</v>
      </c>
      <c r="AT2" s="260">
        <v>0</v>
      </c>
      <c r="AU2" s="260">
        <v>0</v>
      </c>
      <c r="AV2" s="260">
        <v>0</v>
      </c>
      <c r="AW2" s="260">
        <v>0</v>
      </c>
      <c r="AX2" s="260">
        <v>0</v>
      </c>
      <c r="AY2" s="260">
        <v>0</v>
      </c>
      <c r="AZ2" s="260">
        <v>0</v>
      </c>
      <c r="BA2" s="260">
        <v>0</v>
      </c>
      <c r="BB2" s="260">
        <v>0</v>
      </c>
      <c r="BC2" s="260">
        <v>0</v>
      </c>
      <c r="BD2" s="260">
        <v>0</v>
      </c>
      <c r="BE2" s="260">
        <v>0</v>
      </c>
      <c r="BF2" s="260">
        <v>0</v>
      </c>
      <c r="BG2" s="260">
        <v>0</v>
      </c>
      <c r="BH2" s="260">
        <v>0</v>
      </c>
      <c r="BI2" s="260">
        <v>0</v>
      </c>
      <c r="BJ2" s="260">
        <v>0</v>
      </c>
      <c r="BK2" s="260">
        <v>0</v>
      </c>
      <c r="BL2" s="260">
        <v>0</v>
      </c>
      <c r="BM2" s="260">
        <v>0</v>
      </c>
      <c r="BN2" s="260">
        <v>0</v>
      </c>
      <c r="BO2" s="260">
        <v>0</v>
      </c>
      <c r="BP2" s="260">
        <v>0</v>
      </c>
      <c r="BQ2" s="260">
        <v>0</v>
      </c>
      <c r="BR2" s="260">
        <v>0</v>
      </c>
      <c r="BS2" s="260">
        <v>0</v>
      </c>
      <c r="BT2" s="260">
        <v>0</v>
      </c>
      <c r="BU2" s="260">
        <v>0</v>
      </c>
      <c r="BV2" s="260">
        <v>0</v>
      </c>
      <c r="BW2" s="260">
        <v>0</v>
      </c>
      <c r="BX2" s="260">
        <v>0</v>
      </c>
      <c r="BY2" s="260">
        <v>0</v>
      </c>
      <c r="BZ2" s="260">
        <v>0</v>
      </c>
      <c r="CA2" s="260">
        <v>0</v>
      </c>
      <c r="CB2" s="260">
        <v>0</v>
      </c>
      <c r="CC2" s="260">
        <v>0</v>
      </c>
      <c r="CD2" s="260">
        <v>0</v>
      </c>
      <c r="CE2" s="260">
        <v>0</v>
      </c>
      <c r="CF2" s="260">
        <v>0</v>
      </c>
      <c r="CG2" s="260">
        <v>0</v>
      </c>
      <c r="CH2" s="260">
        <v>0</v>
      </c>
    </row>
    <row r="3" spans="1:86" x14ac:dyDescent="0.25">
      <c r="A3" s="170">
        <v>1</v>
      </c>
      <c r="B3" s="170">
        <v>2</v>
      </c>
      <c r="C3" s="259">
        <v>0</v>
      </c>
      <c r="D3" s="259">
        <v>0</v>
      </c>
      <c r="E3" s="259">
        <v>0</v>
      </c>
      <c r="F3" s="259">
        <v>0</v>
      </c>
      <c r="G3" s="259">
        <v>0</v>
      </c>
      <c r="H3" s="259">
        <v>0</v>
      </c>
      <c r="I3" s="260">
        <v>0</v>
      </c>
      <c r="J3" s="260">
        <v>0</v>
      </c>
      <c r="K3" s="260">
        <v>0</v>
      </c>
      <c r="L3" s="260">
        <v>0</v>
      </c>
      <c r="M3" s="260">
        <v>0</v>
      </c>
      <c r="N3" s="260">
        <v>0</v>
      </c>
      <c r="O3" s="260">
        <v>0</v>
      </c>
      <c r="P3" s="260">
        <v>0</v>
      </c>
      <c r="Q3" s="260">
        <v>0</v>
      </c>
      <c r="R3" s="260">
        <v>0</v>
      </c>
      <c r="S3" s="260">
        <v>0</v>
      </c>
      <c r="T3" s="260">
        <v>0</v>
      </c>
      <c r="U3" s="260">
        <v>0</v>
      </c>
      <c r="V3" s="260">
        <v>0</v>
      </c>
      <c r="W3" s="260">
        <v>0</v>
      </c>
      <c r="X3" s="260">
        <v>0</v>
      </c>
      <c r="Y3" s="260">
        <v>0</v>
      </c>
      <c r="Z3" s="260">
        <v>0</v>
      </c>
      <c r="AA3" s="260">
        <v>0</v>
      </c>
      <c r="AB3" s="260">
        <v>0</v>
      </c>
      <c r="AC3" s="260">
        <v>0</v>
      </c>
      <c r="AD3" s="260">
        <v>0</v>
      </c>
      <c r="AE3" s="260">
        <v>0</v>
      </c>
      <c r="AF3" s="260">
        <v>0</v>
      </c>
      <c r="AG3" s="260">
        <v>0</v>
      </c>
      <c r="AH3" s="260">
        <v>0</v>
      </c>
      <c r="AI3" s="260">
        <v>0</v>
      </c>
      <c r="AJ3" s="260">
        <v>0</v>
      </c>
      <c r="AK3" s="260">
        <v>0</v>
      </c>
      <c r="AL3" s="260">
        <v>0</v>
      </c>
      <c r="AM3" s="260">
        <v>0</v>
      </c>
      <c r="AN3" s="260">
        <v>0</v>
      </c>
      <c r="AO3" s="260">
        <v>0</v>
      </c>
      <c r="AP3" s="260">
        <v>0</v>
      </c>
      <c r="AQ3" s="260">
        <v>0</v>
      </c>
      <c r="AR3" s="260">
        <v>0</v>
      </c>
      <c r="AS3" s="260">
        <v>0</v>
      </c>
      <c r="AT3" s="260">
        <v>0</v>
      </c>
      <c r="AU3" s="260">
        <v>0</v>
      </c>
      <c r="AV3" s="260">
        <v>0</v>
      </c>
      <c r="AW3" s="260">
        <v>0</v>
      </c>
      <c r="AX3" s="260">
        <v>0</v>
      </c>
      <c r="AY3" s="260">
        <v>0</v>
      </c>
      <c r="AZ3" s="260">
        <v>0</v>
      </c>
      <c r="BA3" s="260">
        <v>0</v>
      </c>
      <c r="BB3" s="260">
        <v>0</v>
      </c>
      <c r="BC3" s="260">
        <v>0</v>
      </c>
      <c r="BD3" s="260">
        <v>0</v>
      </c>
      <c r="BE3" s="260">
        <v>0</v>
      </c>
      <c r="BF3" s="260">
        <v>0</v>
      </c>
      <c r="BG3" s="260">
        <v>0</v>
      </c>
      <c r="BH3" s="260">
        <v>0</v>
      </c>
      <c r="BI3" s="260">
        <v>0</v>
      </c>
      <c r="BJ3" s="260">
        <v>0</v>
      </c>
      <c r="BK3" s="260">
        <v>0</v>
      </c>
      <c r="BL3" s="260">
        <v>0</v>
      </c>
      <c r="BM3" s="260">
        <v>0</v>
      </c>
      <c r="BN3" s="260">
        <v>0</v>
      </c>
      <c r="BO3" s="260">
        <v>0</v>
      </c>
      <c r="BP3" s="260">
        <v>0</v>
      </c>
      <c r="BQ3" s="260">
        <v>0</v>
      </c>
      <c r="BR3" s="260">
        <v>0</v>
      </c>
      <c r="BS3" s="260">
        <v>0</v>
      </c>
      <c r="BT3" s="260">
        <v>0</v>
      </c>
      <c r="BU3" s="260">
        <v>0</v>
      </c>
      <c r="BV3" s="260">
        <v>0</v>
      </c>
      <c r="BW3" s="260">
        <v>0</v>
      </c>
      <c r="BX3" s="260">
        <v>0</v>
      </c>
      <c r="BY3" s="260">
        <v>0</v>
      </c>
      <c r="BZ3" s="260">
        <v>0</v>
      </c>
      <c r="CA3" s="260">
        <v>0</v>
      </c>
      <c r="CB3" s="260">
        <v>0</v>
      </c>
      <c r="CC3" s="260">
        <v>0</v>
      </c>
      <c r="CD3" s="260">
        <v>0</v>
      </c>
      <c r="CE3" s="260">
        <v>0</v>
      </c>
      <c r="CF3" s="260">
        <v>0</v>
      </c>
      <c r="CG3" s="260">
        <v>0</v>
      </c>
      <c r="CH3" s="260">
        <v>0</v>
      </c>
    </row>
    <row r="4" spans="1:86" x14ac:dyDescent="0.25">
      <c r="A4" s="170">
        <v>1</v>
      </c>
      <c r="B4" s="170">
        <v>3</v>
      </c>
      <c r="C4" s="259">
        <v>0</v>
      </c>
      <c r="D4" s="259">
        <v>0</v>
      </c>
      <c r="E4" s="259">
        <v>0</v>
      </c>
      <c r="F4" s="259">
        <v>0</v>
      </c>
      <c r="G4" s="259">
        <v>0</v>
      </c>
      <c r="H4" s="259">
        <v>0</v>
      </c>
      <c r="I4" s="260">
        <v>0</v>
      </c>
      <c r="J4" s="260">
        <v>0</v>
      </c>
      <c r="K4" s="260">
        <v>0</v>
      </c>
      <c r="L4" s="260">
        <v>0</v>
      </c>
      <c r="M4" s="260">
        <v>0</v>
      </c>
      <c r="N4" s="260">
        <v>0</v>
      </c>
      <c r="O4" s="260">
        <v>0</v>
      </c>
      <c r="P4" s="260">
        <v>0</v>
      </c>
      <c r="Q4" s="260">
        <v>0</v>
      </c>
      <c r="R4" s="260">
        <v>0</v>
      </c>
      <c r="S4" s="260">
        <v>0</v>
      </c>
      <c r="T4" s="260">
        <v>0</v>
      </c>
      <c r="U4" s="260">
        <v>0</v>
      </c>
      <c r="V4" s="260">
        <v>0</v>
      </c>
      <c r="W4" s="260">
        <v>0</v>
      </c>
      <c r="X4" s="260">
        <v>0</v>
      </c>
      <c r="Y4" s="260">
        <v>0</v>
      </c>
      <c r="Z4" s="260">
        <v>0</v>
      </c>
      <c r="AA4" s="260">
        <v>0</v>
      </c>
      <c r="AB4" s="260">
        <v>0</v>
      </c>
      <c r="AC4" s="260">
        <v>0</v>
      </c>
      <c r="AD4" s="260">
        <v>0</v>
      </c>
      <c r="AE4" s="260">
        <v>0</v>
      </c>
      <c r="AF4" s="260">
        <v>0</v>
      </c>
      <c r="AG4" s="260">
        <v>0</v>
      </c>
      <c r="AH4" s="260">
        <v>0</v>
      </c>
      <c r="AI4" s="260">
        <v>0</v>
      </c>
      <c r="AJ4" s="260">
        <v>0</v>
      </c>
      <c r="AK4" s="260">
        <v>0</v>
      </c>
      <c r="AL4" s="260">
        <v>0</v>
      </c>
      <c r="AM4" s="260">
        <v>0</v>
      </c>
      <c r="AN4" s="260">
        <v>0</v>
      </c>
      <c r="AO4" s="260">
        <v>0</v>
      </c>
      <c r="AP4" s="260">
        <v>0</v>
      </c>
      <c r="AQ4" s="260">
        <v>0</v>
      </c>
      <c r="AR4" s="260">
        <v>0</v>
      </c>
      <c r="AS4" s="260">
        <v>0</v>
      </c>
      <c r="AT4" s="260">
        <v>0</v>
      </c>
      <c r="AU4" s="260">
        <v>0</v>
      </c>
      <c r="AV4" s="260">
        <v>0</v>
      </c>
      <c r="AW4" s="260">
        <v>0</v>
      </c>
      <c r="AX4" s="260">
        <v>0</v>
      </c>
      <c r="AY4" s="260">
        <v>0</v>
      </c>
      <c r="AZ4" s="260">
        <v>0</v>
      </c>
      <c r="BA4" s="260">
        <v>0</v>
      </c>
      <c r="BB4" s="260">
        <v>0</v>
      </c>
      <c r="BC4" s="260">
        <v>0</v>
      </c>
      <c r="BD4" s="260">
        <v>0</v>
      </c>
      <c r="BE4" s="260">
        <v>0</v>
      </c>
      <c r="BF4" s="260">
        <v>0</v>
      </c>
      <c r="BG4" s="260">
        <v>0</v>
      </c>
      <c r="BH4" s="260">
        <v>0</v>
      </c>
      <c r="BI4" s="260">
        <v>0</v>
      </c>
      <c r="BJ4" s="260">
        <v>0</v>
      </c>
      <c r="BK4" s="260">
        <v>0</v>
      </c>
      <c r="BL4" s="260">
        <v>0</v>
      </c>
      <c r="BM4" s="260">
        <v>0</v>
      </c>
      <c r="BN4" s="260">
        <v>0</v>
      </c>
      <c r="BO4" s="260">
        <v>0</v>
      </c>
      <c r="BP4" s="260">
        <v>0</v>
      </c>
      <c r="BQ4" s="260">
        <v>0</v>
      </c>
      <c r="BR4" s="260">
        <v>0</v>
      </c>
      <c r="BS4" s="260">
        <v>0</v>
      </c>
      <c r="BT4" s="260">
        <v>0</v>
      </c>
      <c r="BU4" s="260">
        <v>0</v>
      </c>
      <c r="BV4" s="260">
        <v>0</v>
      </c>
      <c r="BW4" s="260">
        <v>0</v>
      </c>
      <c r="BX4" s="260">
        <v>0</v>
      </c>
      <c r="BY4" s="260">
        <v>0</v>
      </c>
      <c r="BZ4" s="260">
        <v>0</v>
      </c>
      <c r="CA4" s="260">
        <v>0</v>
      </c>
      <c r="CB4" s="260">
        <v>0</v>
      </c>
      <c r="CC4" s="260">
        <v>0</v>
      </c>
      <c r="CD4" s="260">
        <v>0</v>
      </c>
      <c r="CE4" s="260">
        <v>0</v>
      </c>
      <c r="CF4" s="260">
        <v>0</v>
      </c>
      <c r="CG4" s="260">
        <v>0</v>
      </c>
      <c r="CH4" s="260">
        <v>0</v>
      </c>
    </row>
    <row r="5" spans="1:86" x14ac:dyDescent="0.25">
      <c r="A5" s="170">
        <v>1</v>
      </c>
      <c r="B5" s="170">
        <v>4</v>
      </c>
      <c r="C5" s="259">
        <v>0</v>
      </c>
      <c r="D5" s="259">
        <v>0</v>
      </c>
      <c r="E5" s="259">
        <v>0</v>
      </c>
      <c r="F5" s="259">
        <v>0</v>
      </c>
      <c r="G5" s="259">
        <v>0</v>
      </c>
      <c r="H5" s="259">
        <v>0</v>
      </c>
      <c r="I5" s="260">
        <v>0</v>
      </c>
      <c r="J5" s="260">
        <v>0</v>
      </c>
      <c r="K5" s="260">
        <v>0</v>
      </c>
      <c r="L5" s="260">
        <v>0</v>
      </c>
      <c r="M5" s="260">
        <v>0</v>
      </c>
      <c r="N5" s="260">
        <v>0</v>
      </c>
      <c r="O5" s="260">
        <v>0</v>
      </c>
      <c r="P5" s="260">
        <v>0</v>
      </c>
      <c r="Q5" s="260">
        <v>0</v>
      </c>
      <c r="R5" s="260">
        <v>0</v>
      </c>
      <c r="S5" s="260">
        <v>0</v>
      </c>
      <c r="T5" s="260">
        <v>0</v>
      </c>
      <c r="U5" s="260">
        <v>0</v>
      </c>
      <c r="V5" s="260">
        <v>0</v>
      </c>
      <c r="W5" s="260">
        <v>0</v>
      </c>
      <c r="X5" s="260">
        <v>0</v>
      </c>
      <c r="Y5" s="260">
        <v>0</v>
      </c>
      <c r="Z5" s="260">
        <v>0</v>
      </c>
      <c r="AA5" s="260">
        <v>0</v>
      </c>
      <c r="AB5" s="260">
        <v>0</v>
      </c>
      <c r="AC5" s="260">
        <v>0</v>
      </c>
      <c r="AD5" s="260">
        <v>0</v>
      </c>
      <c r="AE5" s="260">
        <v>0</v>
      </c>
      <c r="AF5" s="260">
        <v>0</v>
      </c>
      <c r="AG5" s="260">
        <v>0</v>
      </c>
      <c r="AH5" s="260">
        <v>0</v>
      </c>
      <c r="AI5" s="260">
        <v>0</v>
      </c>
      <c r="AJ5" s="260">
        <v>0</v>
      </c>
      <c r="AK5" s="260">
        <v>0</v>
      </c>
      <c r="AL5" s="260">
        <v>0</v>
      </c>
      <c r="AM5" s="260">
        <v>0</v>
      </c>
      <c r="AN5" s="260">
        <v>0</v>
      </c>
      <c r="AO5" s="260">
        <v>0</v>
      </c>
      <c r="AP5" s="260">
        <v>0</v>
      </c>
      <c r="AQ5" s="260">
        <v>0</v>
      </c>
      <c r="AR5" s="260">
        <v>0</v>
      </c>
      <c r="AS5" s="260">
        <v>0</v>
      </c>
      <c r="AT5" s="260">
        <v>0</v>
      </c>
      <c r="AU5" s="260">
        <v>0</v>
      </c>
      <c r="AV5" s="260">
        <v>0</v>
      </c>
      <c r="AW5" s="260">
        <v>0</v>
      </c>
      <c r="AX5" s="260">
        <v>0</v>
      </c>
      <c r="AY5" s="260">
        <v>0</v>
      </c>
      <c r="AZ5" s="260">
        <v>0</v>
      </c>
      <c r="BA5" s="260">
        <v>0</v>
      </c>
      <c r="BB5" s="260">
        <v>0</v>
      </c>
      <c r="BC5" s="260">
        <v>0</v>
      </c>
      <c r="BD5" s="260">
        <v>0</v>
      </c>
      <c r="BE5" s="260">
        <v>0</v>
      </c>
      <c r="BF5" s="260">
        <v>0</v>
      </c>
      <c r="BG5" s="260">
        <v>0</v>
      </c>
      <c r="BH5" s="260">
        <v>0</v>
      </c>
      <c r="BI5" s="260">
        <v>0</v>
      </c>
      <c r="BJ5" s="260">
        <v>0</v>
      </c>
      <c r="BK5" s="260">
        <v>0</v>
      </c>
      <c r="BL5" s="260">
        <v>0</v>
      </c>
      <c r="BM5" s="260">
        <v>0</v>
      </c>
      <c r="BN5" s="260">
        <v>0</v>
      </c>
      <c r="BO5" s="260">
        <v>0</v>
      </c>
      <c r="BP5" s="260">
        <v>0</v>
      </c>
      <c r="BQ5" s="260">
        <v>0</v>
      </c>
      <c r="BR5" s="260">
        <v>0</v>
      </c>
      <c r="BS5" s="260">
        <v>0</v>
      </c>
      <c r="BT5" s="260">
        <v>0</v>
      </c>
      <c r="BU5" s="260">
        <v>0</v>
      </c>
      <c r="BV5" s="260">
        <v>0</v>
      </c>
      <c r="BW5" s="260">
        <v>0</v>
      </c>
      <c r="BX5" s="260">
        <v>0</v>
      </c>
      <c r="BY5" s="260">
        <v>0</v>
      </c>
      <c r="BZ5" s="260">
        <v>0</v>
      </c>
      <c r="CA5" s="260">
        <v>0</v>
      </c>
      <c r="CB5" s="260">
        <v>0</v>
      </c>
      <c r="CC5" s="260">
        <v>0</v>
      </c>
      <c r="CD5" s="260">
        <v>0</v>
      </c>
      <c r="CE5" s="260">
        <v>0</v>
      </c>
      <c r="CF5" s="260">
        <v>0</v>
      </c>
      <c r="CG5" s="260">
        <v>0</v>
      </c>
      <c r="CH5" s="260">
        <v>0</v>
      </c>
    </row>
    <row r="6" spans="1:86" x14ac:dyDescent="0.25">
      <c r="A6" s="170">
        <v>1</v>
      </c>
      <c r="B6" s="170">
        <v>5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60">
        <v>0</v>
      </c>
      <c r="J6" s="260">
        <v>0</v>
      </c>
      <c r="K6" s="260">
        <v>0</v>
      </c>
      <c r="L6" s="260">
        <v>0</v>
      </c>
      <c r="M6" s="260">
        <v>0</v>
      </c>
      <c r="N6" s="260">
        <v>0</v>
      </c>
      <c r="O6" s="260">
        <v>0</v>
      </c>
      <c r="P6" s="260">
        <v>0</v>
      </c>
      <c r="Q6" s="260">
        <v>0</v>
      </c>
      <c r="R6" s="260">
        <v>0</v>
      </c>
      <c r="S6" s="260">
        <v>0</v>
      </c>
      <c r="T6" s="260">
        <v>0</v>
      </c>
      <c r="U6" s="260">
        <v>0</v>
      </c>
      <c r="V6" s="260">
        <v>0</v>
      </c>
      <c r="W6" s="260">
        <v>0</v>
      </c>
      <c r="X6" s="260">
        <v>0</v>
      </c>
      <c r="Y6" s="260">
        <v>0</v>
      </c>
      <c r="Z6" s="260">
        <v>0</v>
      </c>
      <c r="AA6" s="260">
        <v>0</v>
      </c>
      <c r="AB6" s="260">
        <v>0</v>
      </c>
      <c r="AC6" s="260">
        <v>0</v>
      </c>
      <c r="AD6" s="260">
        <v>0</v>
      </c>
      <c r="AE6" s="260">
        <v>0</v>
      </c>
      <c r="AF6" s="260">
        <v>0</v>
      </c>
      <c r="AG6" s="260">
        <v>0</v>
      </c>
      <c r="AH6" s="260">
        <v>0</v>
      </c>
      <c r="AI6" s="260">
        <v>0</v>
      </c>
      <c r="AJ6" s="260">
        <v>0</v>
      </c>
      <c r="AK6" s="260">
        <v>0</v>
      </c>
      <c r="AL6" s="260">
        <v>0</v>
      </c>
      <c r="AM6" s="260">
        <v>0</v>
      </c>
      <c r="AN6" s="260">
        <v>0</v>
      </c>
      <c r="AO6" s="260">
        <v>0</v>
      </c>
      <c r="AP6" s="260">
        <v>0</v>
      </c>
      <c r="AQ6" s="260">
        <v>0</v>
      </c>
      <c r="AR6" s="260">
        <v>0</v>
      </c>
      <c r="AS6" s="260">
        <v>0</v>
      </c>
      <c r="AT6" s="260">
        <v>0</v>
      </c>
      <c r="AU6" s="260">
        <v>0</v>
      </c>
      <c r="AV6" s="260">
        <v>0</v>
      </c>
      <c r="AW6" s="260">
        <v>0</v>
      </c>
      <c r="AX6" s="260">
        <v>0</v>
      </c>
      <c r="AY6" s="260">
        <v>0</v>
      </c>
      <c r="AZ6" s="260">
        <v>0</v>
      </c>
      <c r="BA6" s="260">
        <v>0</v>
      </c>
      <c r="BB6" s="260">
        <v>0</v>
      </c>
      <c r="BC6" s="260">
        <v>0</v>
      </c>
      <c r="BD6" s="260">
        <v>0</v>
      </c>
      <c r="BE6" s="260">
        <v>0</v>
      </c>
      <c r="BF6" s="260">
        <v>0</v>
      </c>
      <c r="BG6" s="260">
        <v>0</v>
      </c>
      <c r="BH6" s="260">
        <v>0</v>
      </c>
      <c r="BI6" s="260">
        <v>0</v>
      </c>
      <c r="BJ6" s="260">
        <v>0</v>
      </c>
      <c r="BK6" s="260">
        <v>0</v>
      </c>
      <c r="BL6" s="260">
        <v>0</v>
      </c>
      <c r="BM6" s="260">
        <v>0</v>
      </c>
      <c r="BN6" s="260">
        <v>0</v>
      </c>
      <c r="BO6" s="260">
        <v>0</v>
      </c>
      <c r="BP6" s="260">
        <v>0</v>
      </c>
      <c r="BQ6" s="260">
        <v>0</v>
      </c>
      <c r="BR6" s="260">
        <v>0</v>
      </c>
      <c r="BS6" s="260">
        <v>0</v>
      </c>
      <c r="BT6" s="260">
        <v>0</v>
      </c>
      <c r="BU6" s="260">
        <v>0</v>
      </c>
      <c r="BV6" s="260">
        <v>0</v>
      </c>
      <c r="BW6" s="260">
        <v>0</v>
      </c>
      <c r="BX6" s="260">
        <v>0</v>
      </c>
      <c r="BY6" s="260">
        <v>0</v>
      </c>
      <c r="BZ6" s="260">
        <v>0</v>
      </c>
      <c r="CA6" s="260">
        <v>0</v>
      </c>
      <c r="CB6" s="260">
        <v>0</v>
      </c>
      <c r="CC6" s="260">
        <v>0</v>
      </c>
      <c r="CD6" s="260">
        <v>0</v>
      </c>
      <c r="CE6" s="260">
        <v>0</v>
      </c>
      <c r="CF6" s="260">
        <v>0</v>
      </c>
      <c r="CG6" s="260">
        <v>0</v>
      </c>
      <c r="CH6" s="260">
        <v>0</v>
      </c>
    </row>
    <row r="7" spans="1:86" x14ac:dyDescent="0.25">
      <c r="A7" s="170">
        <v>1</v>
      </c>
      <c r="B7" s="170">
        <v>6</v>
      </c>
      <c r="C7" s="259">
        <v>0</v>
      </c>
      <c r="D7" s="259">
        <v>0</v>
      </c>
      <c r="E7" s="259">
        <v>0</v>
      </c>
      <c r="F7" s="259">
        <v>0</v>
      </c>
      <c r="G7" s="259">
        <v>0</v>
      </c>
      <c r="H7" s="259">
        <v>0</v>
      </c>
      <c r="I7" s="260">
        <v>0</v>
      </c>
      <c r="J7" s="260">
        <v>0</v>
      </c>
      <c r="K7" s="260">
        <v>0</v>
      </c>
      <c r="L7" s="260">
        <v>0</v>
      </c>
      <c r="M7" s="260">
        <v>0</v>
      </c>
      <c r="N7" s="260">
        <v>0</v>
      </c>
      <c r="O7" s="260">
        <v>0</v>
      </c>
      <c r="P7" s="260">
        <v>0</v>
      </c>
      <c r="Q7" s="260">
        <v>0</v>
      </c>
      <c r="R7" s="260">
        <v>0</v>
      </c>
      <c r="S7" s="260">
        <v>0</v>
      </c>
      <c r="T7" s="260">
        <v>0</v>
      </c>
      <c r="U7" s="260">
        <v>0</v>
      </c>
      <c r="V7" s="260">
        <v>0</v>
      </c>
      <c r="W7" s="260">
        <v>0</v>
      </c>
      <c r="X7" s="260">
        <v>0</v>
      </c>
      <c r="Y7" s="260">
        <v>0</v>
      </c>
      <c r="Z7" s="260">
        <v>0</v>
      </c>
      <c r="AA7" s="260">
        <v>0</v>
      </c>
      <c r="AB7" s="260">
        <v>0</v>
      </c>
      <c r="AC7" s="260">
        <v>0</v>
      </c>
      <c r="AD7" s="260">
        <v>0</v>
      </c>
      <c r="AE7" s="260">
        <v>0</v>
      </c>
      <c r="AF7" s="260">
        <v>0</v>
      </c>
      <c r="AG7" s="260">
        <v>0</v>
      </c>
      <c r="AH7" s="260">
        <v>0</v>
      </c>
      <c r="AI7" s="260">
        <v>0</v>
      </c>
      <c r="AJ7" s="260">
        <v>0</v>
      </c>
      <c r="AK7" s="260">
        <v>0</v>
      </c>
      <c r="AL7" s="260">
        <v>0</v>
      </c>
      <c r="AM7" s="260">
        <v>0</v>
      </c>
      <c r="AN7" s="260">
        <v>0</v>
      </c>
      <c r="AO7" s="260">
        <v>0</v>
      </c>
      <c r="AP7" s="260">
        <v>0</v>
      </c>
      <c r="AQ7" s="260">
        <v>0</v>
      </c>
      <c r="AR7" s="260">
        <v>0</v>
      </c>
      <c r="AS7" s="260">
        <v>0</v>
      </c>
      <c r="AT7" s="260">
        <v>0</v>
      </c>
      <c r="AU7" s="260">
        <v>0</v>
      </c>
      <c r="AV7" s="260">
        <v>0</v>
      </c>
      <c r="AW7" s="260">
        <v>0</v>
      </c>
      <c r="AX7" s="260">
        <v>0</v>
      </c>
      <c r="AY7" s="260">
        <v>0</v>
      </c>
      <c r="AZ7" s="260">
        <v>0</v>
      </c>
      <c r="BA7" s="260">
        <v>0</v>
      </c>
      <c r="BB7" s="260">
        <v>0</v>
      </c>
      <c r="BC7" s="260">
        <v>0</v>
      </c>
      <c r="BD7" s="260">
        <v>0</v>
      </c>
      <c r="BE7" s="260">
        <v>0</v>
      </c>
      <c r="BF7" s="260">
        <v>0</v>
      </c>
      <c r="BG7" s="260">
        <v>0</v>
      </c>
      <c r="BH7" s="260">
        <v>0</v>
      </c>
      <c r="BI7" s="260">
        <v>0</v>
      </c>
      <c r="BJ7" s="260">
        <v>0</v>
      </c>
      <c r="BK7" s="260">
        <v>0</v>
      </c>
      <c r="BL7" s="260">
        <v>0</v>
      </c>
      <c r="BM7" s="260">
        <v>0</v>
      </c>
      <c r="BN7" s="260">
        <v>0</v>
      </c>
      <c r="BO7" s="260">
        <v>0</v>
      </c>
      <c r="BP7" s="260">
        <v>0</v>
      </c>
      <c r="BQ7" s="260">
        <v>0</v>
      </c>
      <c r="BR7" s="260">
        <v>0</v>
      </c>
      <c r="BS7" s="260">
        <v>0</v>
      </c>
      <c r="BT7" s="260">
        <v>0</v>
      </c>
      <c r="BU7" s="260">
        <v>0</v>
      </c>
      <c r="BV7" s="260">
        <v>0</v>
      </c>
      <c r="BW7" s="260">
        <v>0</v>
      </c>
      <c r="BX7" s="260">
        <v>0</v>
      </c>
      <c r="BY7" s="260">
        <v>0</v>
      </c>
      <c r="BZ7" s="260">
        <v>0</v>
      </c>
      <c r="CA7" s="260">
        <v>0</v>
      </c>
      <c r="CB7" s="260">
        <v>0</v>
      </c>
      <c r="CC7" s="260">
        <v>0</v>
      </c>
      <c r="CD7" s="260">
        <v>0</v>
      </c>
      <c r="CE7" s="260">
        <v>0</v>
      </c>
      <c r="CF7" s="260">
        <v>0</v>
      </c>
      <c r="CG7" s="260">
        <v>0</v>
      </c>
      <c r="CH7" s="260">
        <v>0</v>
      </c>
    </row>
    <row r="8" spans="1:86" x14ac:dyDescent="0.25">
      <c r="A8" s="170">
        <v>1</v>
      </c>
      <c r="B8" s="170">
        <v>7</v>
      </c>
      <c r="C8" s="259">
        <v>0</v>
      </c>
      <c r="D8" s="259">
        <v>0</v>
      </c>
      <c r="E8" s="259">
        <v>0</v>
      </c>
      <c r="F8" s="259">
        <v>0</v>
      </c>
      <c r="G8" s="259">
        <v>0</v>
      </c>
      <c r="H8" s="259">
        <v>0</v>
      </c>
      <c r="I8" s="260">
        <v>0</v>
      </c>
      <c r="J8" s="260">
        <v>0</v>
      </c>
      <c r="K8" s="260">
        <v>0</v>
      </c>
      <c r="L8" s="260">
        <v>0</v>
      </c>
      <c r="M8" s="260">
        <v>0</v>
      </c>
      <c r="N8" s="260">
        <v>0</v>
      </c>
      <c r="O8" s="260">
        <v>0</v>
      </c>
      <c r="P8" s="260">
        <v>0</v>
      </c>
      <c r="Q8" s="260">
        <v>0</v>
      </c>
      <c r="R8" s="260">
        <v>0</v>
      </c>
      <c r="S8" s="260">
        <v>0</v>
      </c>
      <c r="T8" s="260">
        <v>0</v>
      </c>
      <c r="U8" s="260">
        <v>0</v>
      </c>
      <c r="V8" s="260">
        <v>0</v>
      </c>
      <c r="W8" s="260">
        <v>0</v>
      </c>
      <c r="X8" s="260">
        <v>0</v>
      </c>
      <c r="Y8" s="260">
        <v>0</v>
      </c>
      <c r="Z8" s="260">
        <v>0</v>
      </c>
      <c r="AA8" s="260">
        <v>0</v>
      </c>
      <c r="AB8" s="260">
        <v>0</v>
      </c>
      <c r="AC8" s="260">
        <v>0</v>
      </c>
      <c r="AD8" s="260">
        <v>0</v>
      </c>
      <c r="AE8" s="260">
        <v>0</v>
      </c>
      <c r="AF8" s="260">
        <v>0</v>
      </c>
      <c r="AG8" s="260">
        <v>0</v>
      </c>
      <c r="AH8" s="260">
        <v>0</v>
      </c>
      <c r="AI8" s="260">
        <v>0</v>
      </c>
      <c r="AJ8" s="260">
        <v>0</v>
      </c>
      <c r="AK8" s="260">
        <v>0</v>
      </c>
      <c r="AL8" s="260">
        <v>0</v>
      </c>
      <c r="AM8" s="260">
        <v>0</v>
      </c>
      <c r="AN8" s="260">
        <v>0</v>
      </c>
      <c r="AO8" s="260">
        <v>0</v>
      </c>
      <c r="AP8" s="260">
        <v>0</v>
      </c>
      <c r="AQ8" s="260">
        <v>0</v>
      </c>
      <c r="AR8" s="260">
        <v>0</v>
      </c>
      <c r="AS8" s="260">
        <v>0</v>
      </c>
      <c r="AT8" s="260">
        <v>0</v>
      </c>
      <c r="AU8" s="260">
        <v>0</v>
      </c>
      <c r="AV8" s="260">
        <v>0</v>
      </c>
      <c r="AW8" s="260">
        <v>0</v>
      </c>
      <c r="AX8" s="260">
        <v>0</v>
      </c>
      <c r="AY8" s="260">
        <v>0</v>
      </c>
      <c r="AZ8" s="260">
        <v>0</v>
      </c>
      <c r="BA8" s="260">
        <v>0</v>
      </c>
      <c r="BB8" s="260">
        <v>0</v>
      </c>
      <c r="BC8" s="260">
        <v>0</v>
      </c>
      <c r="BD8" s="260">
        <v>0</v>
      </c>
      <c r="BE8" s="260">
        <v>0</v>
      </c>
      <c r="BF8" s="260">
        <v>0</v>
      </c>
      <c r="BG8" s="260">
        <v>0</v>
      </c>
      <c r="BH8" s="260">
        <v>0</v>
      </c>
      <c r="BI8" s="260">
        <v>0</v>
      </c>
      <c r="BJ8" s="260">
        <v>0</v>
      </c>
      <c r="BK8" s="260">
        <v>0</v>
      </c>
      <c r="BL8" s="260">
        <v>0</v>
      </c>
      <c r="BM8" s="260">
        <v>0</v>
      </c>
      <c r="BN8" s="260">
        <v>0</v>
      </c>
      <c r="BO8" s="260">
        <v>0</v>
      </c>
      <c r="BP8" s="260">
        <v>0</v>
      </c>
      <c r="BQ8" s="260">
        <v>0</v>
      </c>
      <c r="BR8" s="260">
        <v>0</v>
      </c>
      <c r="BS8" s="260">
        <v>0</v>
      </c>
      <c r="BT8" s="260">
        <v>0</v>
      </c>
      <c r="BU8" s="260">
        <v>0</v>
      </c>
      <c r="BV8" s="260">
        <v>0</v>
      </c>
      <c r="BW8" s="260">
        <v>0</v>
      </c>
      <c r="BX8" s="260">
        <v>0</v>
      </c>
      <c r="BY8" s="260">
        <v>0</v>
      </c>
      <c r="BZ8" s="260">
        <v>0</v>
      </c>
      <c r="CA8" s="260">
        <v>0</v>
      </c>
      <c r="CB8" s="260">
        <v>0</v>
      </c>
      <c r="CC8" s="260">
        <v>0</v>
      </c>
      <c r="CD8" s="260">
        <v>0</v>
      </c>
      <c r="CE8" s="260">
        <v>0</v>
      </c>
      <c r="CF8" s="260">
        <v>0</v>
      </c>
      <c r="CG8" s="260">
        <v>0</v>
      </c>
      <c r="CH8" s="260">
        <v>0</v>
      </c>
    </row>
    <row r="9" spans="1:86" x14ac:dyDescent="0.25">
      <c r="A9" s="170">
        <v>1</v>
      </c>
      <c r="B9" s="170">
        <v>8</v>
      </c>
      <c r="C9" s="259">
        <v>0</v>
      </c>
      <c r="D9" s="259">
        <v>0</v>
      </c>
      <c r="E9" s="259">
        <v>0</v>
      </c>
      <c r="F9" s="259">
        <v>0</v>
      </c>
      <c r="G9" s="259">
        <v>0</v>
      </c>
      <c r="H9" s="259">
        <v>0</v>
      </c>
      <c r="I9" s="260">
        <v>0</v>
      </c>
      <c r="J9" s="260">
        <v>0</v>
      </c>
      <c r="K9" s="260">
        <v>0</v>
      </c>
      <c r="L9" s="260">
        <v>0</v>
      </c>
      <c r="M9" s="260">
        <v>0</v>
      </c>
      <c r="N9" s="260">
        <v>0</v>
      </c>
      <c r="O9" s="260">
        <v>0</v>
      </c>
      <c r="P9" s="260">
        <v>0</v>
      </c>
      <c r="Q9" s="260">
        <v>0</v>
      </c>
      <c r="R9" s="260">
        <v>0</v>
      </c>
      <c r="S9" s="260">
        <v>0</v>
      </c>
      <c r="T9" s="260">
        <v>0</v>
      </c>
      <c r="U9" s="260">
        <v>0</v>
      </c>
      <c r="V9" s="260">
        <v>0</v>
      </c>
      <c r="W9" s="260">
        <v>0</v>
      </c>
      <c r="X9" s="260">
        <v>0</v>
      </c>
      <c r="Y9" s="260">
        <v>0</v>
      </c>
      <c r="Z9" s="260">
        <v>0</v>
      </c>
      <c r="AA9" s="260">
        <v>0</v>
      </c>
      <c r="AB9" s="260">
        <v>0</v>
      </c>
      <c r="AC9" s="260">
        <v>0</v>
      </c>
      <c r="AD9" s="260">
        <v>0</v>
      </c>
      <c r="AE9" s="260">
        <v>0</v>
      </c>
      <c r="AF9" s="260">
        <v>0</v>
      </c>
      <c r="AG9" s="260">
        <v>0</v>
      </c>
      <c r="AH9" s="260">
        <v>0</v>
      </c>
      <c r="AI9" s="260">
        <v>0</v>
      </c>
      <c r="AJ9" s="260">
        <v>0</v>
      </c>
      <c r="AK9" s="260">
        <v>0</v>
      </c>
      <c r="AL9" s="260">
        <v>0</v>
      </c>
      <c r="AM9" s="260">
        <v>0</v>
      </c>
      <c r="AN9" s="260">
        <v>0</v>
      </c>
      <c r="AO9" s="260">
        <v>0</v>
      </c>
      <c r="AP9" s="260">
        <v>0</v>
      </c>
      <c r="AQ9" s="260">
        <v>0</v>
      </c>
      <c r="AR9" s="260">
        <v>0</v>
      </c>
      <c r="AS9" s="260">
        <v>0</v>
      </c>
      <c r="AT9" s="260">
        <v>0</v>
      </c>
      <c r="AU9" s="260">
        <v>0</v>
      </c>
      <c r="AV9" s="260">
        <v>0</v>
      </c>
      <c r="AW9" s="260">
        <v>0</v>
      </c>
      <c r="AX9" s="260">
        <v>0</v>
      </c>
      <c r="AY9" s="260">
        <v>0</v>
      </c>
      <c r="AZ9" s="260">
        <v>0</v>
      </c>
      <c r="BA9" s="260">
        <v>0</v>
      </c>
      <c r="BB9" s="260">
        <v>0</v>
      </c>
      <c r="BC9" s="260">
        <v>0</v>
      </c>
      <c r="BD9" s="260">
        <v>0</v>
      </c>
      <c r="BE9" s="260">
        <v>0</v>
      </c>
      <c r="BF9" s="260">
        <v>0</v>
      </c>
      <c r="BG9" s="260">
        <v>0</v>
      </c>
      <c r="BH9" s="260">
        <v>0</v>
      </c>
      <c r="BI9" s="260">
        <v>0</v>
      </c>
      <c r="BJ9" s="260">
        <v>0</v>
      </c>
      <c r="BK9" s="260">
        <v>0</v>
      </c>
      <c r="BL9" s="260">
        <v>0</v>
      </c>
      <c r="BM9" s="260">
        <v>0</v>
      </c>
      <c r="BN9" s="260">
        <v>0</v>
      </c>
      <c r="BO9" s="260">
        <v>0</v>
      </c>
      <c r="BP9" s="260">
        <v>0</v>
      </c>
      <c r="BQ9" s="260">
        <v>0</v>
      </c>
      <c r="BR9" s="260">
        <v>0</v>
      </c>
      <c r="BS9" s="260">
        <v>0</v>
      </c>
      <c r="BT9" s="260">
        <v>0</v>
      </c>
      <c r="BU9" s="260">
        <v>0</v>
      </c>
      <c r="BV9" s="260">
        <v>0</v>
      </c>
      <c r="BW9" s="260">
        <v>0</v>
      </c>
      <c r="BX9" s="260">
        <v>0</v>
      </c>
      <c r="BY9" s="260">
        <v>0</v>
      </c>
      <c r="BZ9" s="260">
        <v>0</v>
      </c>
      <c r="CA9" s="260">
        <v>0</v>
      </c>
      <c r="CB9" s="260">
        <v>0</v>
      </c>
      <c r="CC9" s="260">
        <v>0</v>
      </c>
      <c r="CD9" s="260">
        <v>0</v>
      </c>
      <c r="CE9" s="260">
        <v>0</v>
      </c>
      <c r="CF9" s="260">
        <v>0</v>
      </c>
      <c r="CG9" s="260">
        <v>0</v>
      </c>
      <c r="CH9" s="260">
        <v>0</v>
      </c>
    </row>
    <row r="10" spans="1:86" x14ac:dyDescent="0.25">
      <c r="A10" s="170">
        <v>1</v>
      </c>
      <c r="B10" s="170">
        <v>9</v>
      </c>
      <c r="C10" s="259">
        <v>0</v>
      </c>
      <c r="D10" s="259">
        <v>0</v>
      </c>
      <c r="E10" s="259">
        <v>0</v>
      </c>
      <c r="F10" s="259">
        <v>0</v>
      </c>
      <c r="G10" s="259">
        <v>0</v>
      </c>
      <c r="H10" s="259">
        <v>0</v>
      </c>
      <c r="I10" s="260">
        <v>0</v>
      </c>
      <c r="J10" s="260">
        <v>0</v>
      </c>
      <c r="K10" s="260">
        <v>0</v>
      </c>
      <c r="L10" s="260">
        <v>0</v>
      </c>
      <c r="M10" s="260">
        <v>0</v>
      </c>
      <c r="N10" s="260">
        <v>0</v>
      </c>
      <c r="O10" s="260">
        <v>0</v>
      </c>
      <c r="P10" s="260">
        <v>0</v>
      </c>
      <c r="Q10" s="260">
        <v>0</v>
      </c>
      <c r="R10" s="260">
        <v>0</v>
      </c>
      <c r="S10" s="260">
        <v>0</v>
      </c>
      <c r="T10" s="260">
        <v>0</v>
      </c>
      <c r="U10" s="260">
        <v>0</v>
      </c>
      <c r="V10" s="260">
        <v>0</v>
      </c>
      <c r="W10" s="260">
        <v>0</v>
      </c>
      <c r="X10" s="260">
        <v>0</v>
      </c>
      <c r="Y10" s="260">
        <v>0</v>
      </c>
      <c r="Z10" s="260">
        <v>0</v>
      </c>
      <c r="AA10" s="260">
        <v>0</v>
      </c>
      <c r="AB10" s="260">
        <v>0</v>
      </c>
      <c r="AC10" s="260">
        <v>0</v>
      </c>
      <c r="AD10" s="260">
        <v>0</v>
      </c>
      <c r="AE10" s="260">
        <v>0</v>
      </c>
      <c r="AF10" s="260">
        <v>0</v>
      </c>
      <c r="AG10" s="260">
        <v>0</v>
      </c>
      <c r="AH10" s="260">
        <v>0</v>
      </c>
      <c r="AI10" s="260">
        <v>0</v>
      </c>
      <c r="AJ10" s="260">
        <v>0</v>
      </c>
      <c r="AK10" s="260">
        <v>0</v>
      </c>
      <c r="AL10" s="260">
        <v>0</v>
      </c>
      <c r="AM10" s="260">
        <v>0</v>
      </c>
      <c r="AN10" s="260">
        <v>0</v>
      </c>
      <c r="AO10" s="260">
        <v>0</v>
      </c>
      <c r="AP10" s="260">
        <v>0</v>
      </c>
      <c r="AQ10" s="260">
        <v>0</v>
      </c>
      <c r="AR10" s="260">
        <v>0</v>
      </c>
      <c r="AS10" s="260">
        <v>0</v>
      </c>
      <c r="AT10" s="260">
        <v>0</v>
      </c>
      <c r="AU10" s="260">
        <v>0</v>
      </c>
      <c r="AV10" s="260">
        <v>0</v>
      </c>
      <c r="AW10" s="260">
        <v>0</v>
      </c>
      <c r="AX10" s="260">
        <v>0</v>
      </c>
      <c r="AY10" s="260">
        <v>0</v>
      </c>
      <c r="AZ10" s="260">
        <v>0</v>
      </c>
      <c r="BA10" s="260">
        <v>0</v>
      </c>
      <c r="BB10" s="260">
        <v>0</v>
      </c>
      <c r="BC10" s="260">
        <v>0</v>
      </c>
      <c r="BD10" s="260">
        <v>0</v>
      </c>
      <c r="BE10" s="260">
        <v>0</v>
      </c>
      <c r="BF10" s="260">
        <v>0</v>
      </c>
      <c r="BG10" s="260">
        <v>0</v>
      </c>
      <c r="BH10" s="260">
        <v>0</v>
      </c>
      <c r="BI10" s="260">
        <v>0</v>
      </c>
      <c r="BJ10" s="260">
        <v>0</v>
      </c>
      <c r="BK10" s="260">
        <v>0</v>
      </c>
      <c r="BL10" s="260">
        <v>0</v>
      </c>
      <c r="BM10" s="260">
        <v>0</v>
      </c>
      <c r="BN10" s="260">
        <v>0</v>
      </c>
      <c r="BO10" s="260">
        <v>0</v>
      </c>
      <c r="BP10" s="260">
        <v>0</v>
      </c>
      <c r="BQ10" s="260">
        <v>0</v>
      </c>
      <c r="BR10" s="260">
        <v>0</v>
      </c>
      <c r="BS10" s="260">
        <v>0</v>
      </c>
      <c r="BT10" s="260">
        <v>0</v>
      </c>
      <c r="BU10" s="260">
        <v>0</v>
      </c>
      <c r="BV10" s="260">
        <v>0</v>
      </c>
      <c r="BW10" s="260">
        <v>0</v>
      </c>
      <c r="BX10" s="260">
        <v>0</v>
      </c>
      <c r="BY10" s="260">
        <v>0</v>
      </c>
      <c r="BZ10" s="260">
        <v>0</v>
      </c>
      <c r="CA10" s="260">
        <v>0</v>
      </c>
      <c r="CB10" s="260">
        <v>0</v>
      </c>
      <c r="CC10" s="260">
        <v>0</v>
      </c>
      <c r="CD10" s="260">
        <v>0</v>
      </c>
      <c r="CE10" s="260">
        <v>0</v>
      </c>
      <c r="CF10" s="260">
        <v>0</v>
      </c>
      <c r="CG10" s="260">
        <v>0</v>
      </c>
      <c r="CH10" s="260">
        <v>0</v>
      </c>
    </row>
    <row r="11" spans="1:86" x14ac:dyDescent="0.25">
      <c r="A11" s="170">
        <v>1</v>
      </c>
      <c r="B11" s="170">
        <v>10</v>
      </c>
      <c r="C11" s="259">
        <v>0</v>
      </c>
      <c r="D11" s="259">
        <v>0</v>
      </c>
      <c r="E11" s="259">
        <v>0</v>
      </c>
      <c r="F11" s="259">
        <v>0</v>
      </c>
      <c r="G11" s="259">
        <v>0</v>
      </c>
      <c r="H11" s="259">
        <v>0</v>
      </c>
      <c r="I11" s="260">
        <v>0</v>
      </c>
      <c r="J11" s="260">
        <v>0</v>
      </c>
      <c r="K11" s="260">
        <v>0</v>
      </c>
      <c r="L11" s="260">
        <v>0</v>
      </c>
      <c r="M11" s="260">
        <v>0</v>
      </c>
      <c r="N11" s="260">
        <v>0</v>
      </c>
      <c r="O11" s="260">
        <v>0</v>
      </c>
      <c r="P11" s="260">
        <v>0</v>
      </c>
      <c r="Q11" s="260">
        <v>0</v>
      </c>
      <c r="R11" s="260">
        <v>0</v>
      </c>
      <c r="S11" s="260">
        <v>0</v>
      </c>
      <c r="T11" s="260">
        <v>0</v>
      </c>
      <c r="U11" s="260">
        <v>0</v>
      </c>
      <c r="V11" s="260">
        <v>0</v>
      </c>
      <c r="W11" s="260">
        <v>0</v>
      </c>
      <c r="X11" s="260">
        <v>0</v>
      </c>
      <c r="Y11" s="260">
        <v>0</v>
      </c>
      <c r="Z11" s="260">
        <v>0</v>
      </c>
      <c r="AA11" s="260">
        <v>0</v>
      </c>
      <c r="AB11" s="260">
        <v>0</v>
      </c>
      <c r="AC11" s="260">
        <v>0</v>
      </c>
      <c r="AD11" s="260">
        <v>0</v>
      </c>
      <c r="AE11" s="260">
        <v>0</v>
      </c>
      <c r="AF11" s="260">
        <v>0</v>
      </c>
      <c r="AG11" s="260">
        <v>0</v>
      </c>
      <c r="AH11" s="260">
        <v>0</v>
      </c>
      <c r="AI11" s="260">
        <v>0</v>
      </c>
      <c r="AJ11" s="260">
        <v>0</v>
      </c>
      <c r="AK11" s="260">
        <v>0</v>
      </c>
      <c r="AL11" s="260">
        <v>0</v>
      </c>
      <c r="AM11" s="260">
        <v>0</v>
      </c>
      <c r="AN11" s="260">
        <v>0</v>
      </c>
      <c r="AO11" s="260">
        <v>0</v>
      </c>
      <c r="AP11" s="260">
        <v>0</v>
      </c>
      <c r="AQ11" s="260">
        <v>0</v>
      </c>
      <c r="AR11" s="260">
        <v>0</v>
      </c>
      <c r="AS11" s="260">
        <v>0</v>
      </c>
      <c r="AT11" s="260">
        <v>0</v>
      </c>
      <c r="AU11" s="260">
        <v>0</v>
      </c>
      <c r="AV11" s="260">
        <v>0</v>
      </c>
      <c r="AW11" s="260">
        <v>0</v>
      </c>
      <c r="AX11" s="260">
        <v>0</v>
      </c>
      <c r="AY11" s="260">
        <v>0</v>
      </c>
      <c r="AZ11" s="260">
        <v>0</v>
      </c>
      <c r="BA11" s="260">
        <v>0</v>
      </c>
      <c r="BB11" s="260">
        <v>0</v>
      </c>
      <c r="BC11" s="260">
        <v>0</v>
      </c>
      <c r="BD11" s="260">
        <v>0</v>
      </c>
      <c r="BE11" s="260">
        <v>0</v>
      </c>
      <c r="BF11" s="260">
        <v>0</v>
      </c>
      <c r="BG11" s="260">
        <v>0</v>
      </c>
      <c r="BH11" s="260">
        <v>0</v>
      </c>
      <c r="BI11" s="260">
        <v>0</v>
      </c>
      <c r="BJ11" s="260">
        <v>0</v>
      </c>
      <c r="BK11" s="260">
        <v>0</v>
      </c>
      <c r="BL11" s="260">
        <v>0</v>
      </c>
      <c r="BM11" s="260">
        <v>0</v>
      </c>
      <c r="BN11" s="260">
        <v>0</v>
      </c>
      <c r="BO11" s="260">
        <v>0</v>
      </c>
      <c r="BP11" s="260">
        <v>0</v>
      </c>
      <c r="BQ11" s="260">
        <v>0</v>
      </c>
      <c r="BR11" s="260">
        <v>0</v>
      </c>
      <c r="BS11" s="260">
        <v>0</v>
      </c>
      <c r="BT11" s="260">
        <v>0</v>
      </c>
      <c r="BU11" s="260">
        <v>0</v>
      </c>
      <c r="BV11" s="260">
        <v>0</v>
      </c>
      <c r="BW11" s="260">
        <v>0</v>
      </c>
      <c r="BX11" s="260">
        <v>0</v>
      </c>
      <c r="BY11" s="260">
        <v>0</v>
      </c>
      <c r="BZ11" s="260">
        <v>0</v>
      </c>
      <c r="CA11" s="260">
        <v>0</v>
      </c>
      <c r="CB11" s="260">
        <v>0</v>
      </c>
      <c r="CC11" s="260">
        <v>0</v>
      </c>
      <c r="CD11" s="260">
        <v>0</v>
      </c>
      <c r="CE11" s="260">
        <v>0</v>
      </c>
      <c r="CF11" s="260">
        <v>0</v>
      </c>
      <c r="CG11" s="260">
        <v>0</v>
      </c>
      <c r="CH11" s="260">
        <v>0</v>
      </c>
    </row>
    <row r="12" spans="1:86" x14ac:dyDescent="0.25">
      <c r="A12" s="170">
        <v>1</v>
      </c>
      <c r="B12" s="170">
        <v>11</v>
      </c>
      <c r="C12" s="259">
        <v>0</v>
      </c>
      <c r="D12" s="259">
        <v>0</v>
      </c>
      <c r="E12" s="259">
        <v>0</v>
      </c>
      <c r="F12" s="259">
        <v>0</v>
      </c>
      <c r="G12" s="259">
        <v>0</v>
      </c>
      <c r="H12" s="259">
        <v>0</v>
      </c>
      <c r="I12" s="260">
        <v>0</v>
      </c>
      <c r="J12" s="260">
        <v>0</v>
      </c>
      <c r="K12" s="260">
        <v>0</v>
      </c>
      <c r="L12" s="260">
        <v>0</v>
      </c>
      <c r="M12" s="260">
        <v>0</v>
      </c>
      <c r="N12" s="260">
        <v>0</v>
      </c>
      <c r="O12" s="260">
        <v>0</v>
      </c>
      <c r="P12" s="260">
        <v>0</v>
      </c>
      <c r="Q12" s="260">
        <v>0</v>
      </c>
      <c r="R12" s="260">
        <v>0</v>
      </c>
      <c r="S12" s="260">
        <v>0</v>
      </c>
      <c r="T12" s="260">
        <v>0</v>
      </c>
      <c r="U12" s="260">
        <v>0</v>
      </c>
      <c r="V12" s="260">
        <v>0</v>
      </c>
      <c r="W12" s="260">
        <v>0</v>
      </c>
      <c r="X12" s="260">
        <v>0</v>
      </c>
      <c r="Y12" s="260">
        <v>0</v>
      </c>
      <c r="Z12" s="260">
        <v>0</v>
      </c>
      <c r="AA12" s="260">
        <v>0</v>
      </c>
      <c r="AB12" s="260">
        <v>0</v>
      </c>
      <c r="AC12" s="260">
        <v>0</v>
      </c>
      <c r="AD12" s="260">
        <v>0</v>
      </c>
      <c r="AE12" s="260">
        <v>0</v>
      </c>
      <c r="AF12" s="260">
        <v>0</v>
      </c>
      <c r="AG12" s="260">
        <v>0</v>
      </c>
      <c r="AH12" s="260">
        <v>0</v>
      </c>
      <c r="AI12" s="260">
        <v>0</v>
      </c>
      <c r="AJ12" s="260">
        <v>0</v>
      </c>
      <c r="AK12" s="260">
        <v>0</v>
      </c>
      <c r="AL12" s="260">
        <v>0</v>
      </c>
      <c r="AM12" s="260">
        <v>0</v>
      </c>
      <c r="AN12" s="260">
        <v>0</v>
      </c>
      <c r="AO12" s="260">
        <v>0</v>
      </c>
      <c r="AP12" s="260">
        <v>0</v>
      </c>
      <c r="AQ12" s="260">
        <v>0</v>
      </c>
      <c r="AR12" s="260">
        <v>0</v>
      </c>
      <c r="AS12" s="260">
        <v>0</v>
      </c>
      <c r="AT12" s="260">
        <v>0</v>
      </c>
      <c r="AU12" s="260">
        <v>0</v>
      </c>
      <c r="AV12" s="260">
        <v>0</v>
      </c>
      <c r="AW12" s="260">
        <v>0</v>
      </c>
      <c r="AX12" s="260">
        <v>0</v>
      </c>
      <c r="AY12" s="260">
        <v>0</v>
      </c>
      <c r="AZ12" s="260">
        <v>0</v>
      </c>
      <c r="BA12" s="260">
        <v>0</v>
      </c>
      <c r="BB12" s="260">
        <v>0</v>
      </c>
      <c r="BC12" s="260">
        <v>0</v>
      </c>
      <c r="BD12" s="260">
        <v>0</v>
      </c>
      <c r="BE12" s="260">
        <v>0</v>
      </c>
      <c r="BF12" s="260">
        <v>0</v>
      </c>
      <c r="BG12" s="260">
        <v>0</v>
      </c>
      <c r="BH12" s="260">
        <v>0</v>
      </c>
      <c r="BI12" s="260">
        <v>0</v>
      </c>
      <c r="BJ12" s="260">
        <v>0</v>
      </c>
      <c r="BK12" s="260">
        <v>0</v>
      </c>
      <c r="BL12" s="260">
        <v>0</v>
      </c>
      <c r="BM12" s="260">
        <v>0</v>
      </c>
      <c r="BN12" s="260">
        <v>0</v>
      </c>
      <c r="BO12" s="260">
        <v>0</v>
      </c>
      <c r="BP12" s="260">
        <v>0</v>
      </c>
      <c r="BQ12" s="260">
        <v>0</v>
      </c>
      <c r="BR12" s="260">
        <v>0</v>
      </c>
      <c r="BS12" s="260">
        <v>0</v>
      </c>
      <c r="BT12" s="260">
        <v>0</v>
      </c>
      <c r="BU12" s="260">
        <v>0</v>
      </c>
      <c r="BV12" s="260">
        <v>0</v>
      </c>
      <c r="BW12" s="260">
        <v>0</v>
      </c>
      <c r="BX12" s="260">
        <v>0</v>
      </c>
      <c r="BY12" s="260">
        <v>0</v>
      </c>
      <c r="BZ12" s="260">
        <v>0</v>
      </c>
      <c r="CA12" s="260">
        <v>0</v>
      </c>
      <c r="CB12" s="260">
        <v>0</v>
      </c>
      <c r="CC12" s="260">
        <v>0</v>
      </c>
      <c r="CD12" s="260">
        <v>0</v>
      </c>
      <c r="CE12" s="260">
        <v>0</v>
      </c>
      <c r="CF12" s="260">
        <v>0</v>
      </c>
      <c r="CG12" s="260">
        <v>0</v>
      </c>
      <c r="CH12" s="260">
        <v>0</v>
      </c>
    </row>
    <row r="13" spans="1:86" x14ac:dyDescent="0.25">
      <c r="A13" s="170">
        <v>1</v>
      </c>
      <c r="B13" s="170">
        <v>12</v>
      </c>
      <c r="C13" s="259">
        <v>0</v>
      </c>
      <c r="D13" s="259">
        <v>0</v>
      </c>
      <c r="E13" s="259">
        <v>0</v>
      </c>
      <c r="F13" s="259">
        <v>0</v>
      </c>
      <c r="G13" s="259">
        <v>0</v>
      </c>
      <c r="H13" s="259">
        <v>0</v>
      </c>
      <c r="I13" s="260">
        <v>0</v>
      </c>
      <c r="J13" s="260">
        <v>0</v>
      </c>
      <c r="K13" s="260">
        <v>0</v>
      </c>
      <c r="L13" s="260">
        <v>0</v>
      </c>
      <c r="M13" s="260">
        <v>0</v>
      </c>
      <c r="N13" s="260">
        <v>0</v>
      </c>
      <c r="O13" s="260">
        <v>0</v>
      </c>
      <c r="P13" s="260">
        <v>0</v>
      </c>
      <c r="Q13" s="260">
        <v>0</v>
      </c>
      <c r="R13" s="260">
        <v>0</v>
      </c>
      <c r="S13" s="260">
        <v>0</v>
      </c>
      <c r="T13" s="260">
        <v>0</v>
      </c>
      <c r="U13" s="260">
        <v>0</v>
      </c>
      <c r="V13" s="260">
        <v>0</v>
      </c>
      <c r="W13" s="260">
        <v>0</v>
      </c>
      <c r="X13" s="260">
        <v>0</v>
      </c>
      <c r="Y13" s="260">
        <v>0</v>
      </c>
      <c r="Z13" s="260">
        <v>0</v>
      </c>
      <c r="AA13" s="260">
        <v>0</v>
      </c>
      <c r="AB13" s="260">
        <v>0</v>
      </c>
      <c r="AC13" s="260">
        <v>0</v>
      </c>
      <c r="AD13" s="260">
        <v>0</v>
      </c>
      <c r="AE13" s="260">
        <v>0</v>
      </c>
      <c r="AF13" s="260">
        <v>0</v>
      </c>
      <c r="AG13" s="260">
        <v>0</v>
      </c>
      <c r="AH13" s="260">
        <v>0</v>
      </c>
      <c r="AI13" s="260">
        <v>0</v>
      </c>
      <c r="AJ13" s="260">
        <v>0</v>
      </c>
      <c r="AK13" s="260">
        <v>0</v>
      </c>
      <c r="AL13" s="260">
        <v>0</v>
      </c>
      <c r="AM13" s="260">
        <v>0</v>
      </c>
      <c r="AN13" s="260">
        <v>0</v>
      </c>
      <c r="AO13" s="260">
        <v>0</v>
      </c>
      <c r="AP13" s="260">
        <v>0</v>
      </c>
      <c r="AQ13" s="260">
        <v>0</v>
      </c>
      <c r="AR13" s="260">
        <v>0</v>
      </c>
      <c r="AS13" s="260">
        <v>0</v>
      </c>
      <c r="AT13" s="260">
        <v>0</v>
      </c>
      <c r="AU13" s="260">
        <v>0</v>
      </c>
      <c r="AV13" s="260">
        <v>0</v>
      </c>
      <c r="AW13" s="260">
        <v>0</v>
      </c>
      <c r="AX13" s="260">
        <v>0</v>
      </c>
      <c r="AY13" s="260">
        <v>0</v>
      </c>
      <c r="AZ13" s="260">
        <v>0</v>
      </c>
      <c r="BA13" s="260">
        <v>0</v>
      </c>
      <c r="BB13" s="260">
        <v>0</v>
      </c>
      <c r="BC13" s="260">
        <v>0</v>
      </c>
      <c r="BD13" s="260">
        <v>0</v>
      </c>
      <c r="BE13" s="260">
        <v>0</v>
      </c>
      <c r="BF13" s="260">
        <v>0</v>
      </c>
      <c r="BG13" s="260">
        <v>0</v>
      </c>
      <c r="BH13" s="260">
        <v>0</v>
      </c>
      <c r="BI13" s="260">
        <v>0</v>
      </c>
      <c r="BJ13" s="260">
        <v>0</v>
      </c>
      <c r="BK13" s="260">
        <v>0</v>
      </c>
      <c r="BL13" s="260">
        <v>0</v>
      </c>
      <c r="BM13" s="260">
        <v>0</v>
      </c>
      <c r="BN13" s="260">
        <v>0</v>
      </c>
      <c r="BO13" s="260">
        <v>0</v>
      </c>
      <c r="BP13" s="260">
        <v>0</v>
      </c>
      <c r="BQ13" s="260">
        <v>0</v>
      </c>
      <c r="BR13" s="260">
        <v>0</v>
      </c>
      <c r="BS13" s="260">
        <v>0</v>
      </c>
      <c r="BT13" s="260">
        <v>0</v>
      </c>
      <c r="BU13" s="260">
        <v>0</v>
      </c>
      <c r="BV13" s="260">
        <v>0</v>
      </c>
      <c r="BW13" s="260">
        <v>0</v>
      </c>
      <c r="BX13" s="260">
        <v>0</v>
      </c>
      <c r="BY13" s="260">
        <v>0</v>
      </c>
      <c r="BZ13" s="260">
        <v>0</v>
      </c>
      <c r="CA13" s="260">
        <v>0</v>
      </c>
      <c r="CB13" s="260">
        <v>0</v>
      </c>
      <c r="CC13" s="260">
        <v>0</v>
      </c>
      <c r="CD13" s="260">
        <v>0</v>
      </c>
      <c r="CE13" s="260">
        <v>0</v>
      </c>
      <c r="CF13" s="260">
        <v>0</v>
      </c>
      <c r="CG13" s="260">
        <v>0</v>
      </c>
      <c r="CH13" s="260">
        <v>0</v>
      </c>
    </row>
    <row r="14" spans="1:86" x14ac:dyDescent="0.25">
      <c r="A14" s="170">
        <v>1</v>
      </c>
      <c r="B14" s="170">
        <v>13</v>
      </c>
      <c r="C14" s="259">
        <v>0</v>
      </c>
      <c r="D14" s="259">
        <v>0</v>
      </c>
      <c r="E14" s="259">
        <v>0</v>
      </c>
      <c r="F14" s="259">
        <v>0</v>
      </c>
      <c r="G14" s="259">
        <v>0</v>
      </c>
      <c r="H14" s="259">
        <v>0</v>
      </c>
      <c r="I14" s="260">
        <v>0</v>
      </c>
      <c r="J14" s="260">
        <v>0</v>
      </c>
      <c r="K14" s="260">
        <v>0</v>
      </c>
      <c r="L14" s="260">
        <v>0</v>
      </c>
      <c r="M14" s="260">
        <v>0</v>
      </c>
      <c r="N14" s="260">
        <v>0</v>
      </c>
      <c r="O14" s="260">
        <v>0</v>
      </c>
      <c r="P14" s="260">
        <v>0</v>
      </c>
      <c r="Q14" s="260">
        <v>0</v>
      </c>
      <c r="R14" s="260">
        <v>0</v>
      </c>
      <c r="S14" s="260">
        <v>0</v>
      </c>
      <c r="T14" s="260">
        <v>0</v>
      </c>
      <c r="U14" s="260">
        <v>0</v>
      </c>
      <c r="V14" s="260">
        <v>0</v>
      </c>
      <c r="W14" s="260">
        <v>0</v>
      </c>
      <c r="X14" s="260">
        <v>0</v>
      </c>
      <c r="Y14" s="260">
        <v>0</v>
      </c>
      <c r="Z14" s="260">
        <v>0</v>
      </c>
      <c r="AA14" s="260">
        <v>0</v>
      </c>
      <c r="AB14" s="260">
        <v>0</v>
      </c>
      <c r="AC14" s="260">
        <v>0</v>
      </c>
      <c r="AD14" s="260">
        <v>0</v>
      </c>
      <c r="AE14" s="260">
        <v>0</v>
      </c>
      <c r="AF14" s="260">
        <v>0</v>
      </c>
      <c r="AG14" s="260">
        <v>0</v>
      </c>
      <c r="AH14" s="260">
        <v>0</v>
      </c>
      <c r="AI14" s="260">
        <v>0</v>
      </c>
      <c r="AJ14" s="260">
        <v>0</v>
      </c>
      <c r="AK14" s="260">
        <v>0</v>
      </c>
      <c r="AL14" s="260">
        <v>0</v>
      </c>
      <c r="AM14" s="260">
        <v>0</v>
      </c>
      <c r="AN14" s="260">
        <v>0</v>
      </c>
      <c r="AO14" s="260">
        <v>0</v>
      </c>
      <c r="AP14" s="260">
        <v>0</v>
      </c>
      <c r="AQ14" s="260">
        <v>0</v>
      </c>
      <c r="AR14" s="260">
        <v>0</v>
      </c>
      <c r="AS14" s="260">
        <v>0</v>
      </c>
      <c r="AT14" s="260">
        <v>0</v>
      </c>
      <c r="AU14" s="260">
        <v>0</v>
      </c>
      <c r="AV14" s="260">
        <v>0</v>
      </c>
      <c r="AW14" s="260">
        <v>0</v>
      </c>
      <c r="AX14" s="260">
        <v>0</v>
      </c>
      <c r="AY14" s="260">
        <v>0</v>
      </c>
      <c r="AZ14" s="260">
        <v>0</v>
      </c>
      <c r="BA14" s="260">
        <v>0</v>
      </c>
      <c r="BB14" s="260">
        <v>0</v>
      </c>
      <c r="BC14" s="260">
        <v>0</v>
      </c>
      <c r="BD14" s="260">
        <v>0</v>
      </c>
      <c r="BE14" s="260">
        <v>0</v>
      </c>
      <c r="BF14" s="260">
        <v>0</v>
      </c>
      <c r="BG14" s="260">
        <v>0</v>
      </c>
      <c r="BH14" s="260">
        <v>0</v>
      </c>
      <c r="BI14" s="260">
        <v>0</v>
      </c>
      <c r="BJ14" s="260">
        <v>0</v>
      </c>
      <c r="BK14" s="260">
        <v>0</v>
      </c>
      <c r="BL14" s="260">
        <v>0</v>
      </c>
      <c r="BM14" s="260">
        <v>0</v>
      </c>
      <c r="BN14" s="260">
        <v>0</v>
      </c>
      <c r="BO14" s="260">
        <v>0</v>
      </c>
      <c r="BP14" s="260">
        <v>0</v>
      </c>
      <c r="BQ14" s="260">
        <v>0</v>
      </c>
      <c r="BR14" s="260">
        <v>0</v>
      </c>
      <c r="BS14" s="260">
        <v>0</v>
      </c>
      <c r="BT14" s="260">
        <v>0</v>
      </c>
      <c r="BU14" s="260">
        <v>0</v>
      </c>
      <c r="BV14" s="260">
        <v>0</v>
      </c>
      <c r="BW14" s="260">
        <v>0</v>
      </c>
      <c r="BX14" s="260">
        <v>0</v>
      </c>
      <c r="BY14" s="260">
        <v>0</v>
      </c>
      <c r="BZ14" s="260">
        <v>0</v>
      </c>
      <c r="CA14" s="260">
        <v>0</v>
      </c>
      <c r="CB14" s="260">
        <v>0</v>
      </c>
      <c r="CC14" s="260">
        <v>0</v>
      </c>
      <c r="CD14" s="260">
        <v>0</v>
      </c>
      <c r="CE14" s="260">
        <v>0</v>
      </c>
      <c r="CF14" s="260">
        <v>0</v>
      </c>
      <c r="CG14" s="260">
        <v>0</v>
      </c>
      <c r="CH14" s="260">
        <v>0</v>
      </c>
    </row>
    <row r="15" spans="1:86" x14ac:dyDescent="0.25">
      <c r="A15" s="170">
        <v>1</v>
      </c>
      <c r="B15" s="170">
        <v>14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60">
        <v>0</v>
      </c>
      <c r="J15" s="260">
        <v>0</v>
      </c>
      <c r="K15" s="260">
        <v>0</v>
      </c>
      <c r="L15" s="260">
        <v>0</v>
      </c>
      <c r="M15" s="260">
        <v>0</v>
      </c>
      <c r="N15" s="260">
        <v>0</v>
      </c>
      <c r="O15" s="260">
        <v>0</v>
      </c>
      <c r="P15" s="260">
        <v>0</v>
      </c>
      <c r="Q15" s="260">
        <v>0</v>
      </c>
      <c r="R15" s="260">
        <v>0</v>
      </c>
      <c r="S15" s="260">
        <v>0</v>
      </c>
      <c r="T15" s="260">
        <v>0</v>
      </c>
      <c r="U15" s="260">
        <v>0</v>
      </c>
      <c r="V15" s="260">
        <v>0</v>
      </c>
      <c r="W15" s="260">
        <v>0</v>
      </c>
      <c r="X15" s="260">
        <v>0</v>
      </c>
      <c r="Y15" s="260">
        <v>0</v>
      </c>
      <c r="Z15" s="260">
        <v>0</v>
      </c>
      <c r="AA15" s="260">
        <v>0</v>
      </c>
      <c r="AB15" s="260">
        <v>0</v>
      </c>
      <c r="AC15" s="260">
        <v>0</v>
      </c>
      <c r="AD15" s="260">
        <v>0</v>
      </c>
      <c r="AE15" s="260">
        <v>0</v>
      </c>
      <c r="AF15" s="260">
        <v>0</v>
      </c>
      <c r="AG15" s="260">
        <v>0</v>
      </c>
      <c r="AH15" s="260">
        <v>0</v>
      </c>
      <c r="AI15" s="260">
        <v>0</v>
      </c>
      <c r="AJ15" s="260">
        <v>0</v>
      </c>
      <c r="AK15" s="260">
        <v>0</v>
      </c>
      <c r="AL15" s="260">
        <v>0</v>
      </c>
      <c r="AM15" s="260">
        <v>0</v>
      </c>
      <c r="AN15" s="260">
        <v>0</v>
      </c>
      <c r="AO15" s="260">
        <v>0</v>
      </c>
      <c r="AP15" s="260">
        <v>0</v>
      </c>
      <c r="AQ15" s="260">
        <v>0</v>
      </c>
      <c r="AR15" s="260">
        <v>0</v>
      </c>
      <c r="AS15" s="260">
        <v>0</v>
      </c>
      <c r="AT15" s="260">
        <v>0</v>
      </c>
      <c r="AU15" s="260">
        <v>0</v>
      </c>
      <c r="AV15" s="260">
        <v>0</v>
      </c>
      <c r="AW15" s="260">
        <v>0</v>
      </c>
      <c r="AX15" s="260">
        <v>0</v>
      </c>
      <c r="AY15" s="260">
        <v>0</v>
      </c>
      <c r="AZ15" s="260">
        <v>0</v>
      </c>
      <c r="BA15" s="260">
        <v>0</v>
      </c>
      <c r="BB15" s="260">
        <v>0</v>
      </c>
      <c r="BC15" s="260">
        <v>0</v>
      </c>
      <c r="BD15" s="260">
        <v>0</v>
      </c>
      <c r="BE15" s="260">
        <v>0</v>
      </c>
      <c r="BF15" s="260">
        <v>0</v>
      </c>
      <c r="BG15" s="260">
        <v>0</v>
      </c>
      <c r="BH15" s="260">
        <v>0</v>
      </c>
      <c r="BI15" s="260">
        <v>0</v>
      </c>
      <c r="BJ15" s="260">
        <v>0</v>
      </c>
      <c r="BK15" s="260">
        <v>0</v>
      </c>
      <c r="BL15" s="260">
        <v>0</v>
      </c>
      <c r="BM15" s="260">
        <v>0</v>
      </c>
      <c r="BN15" s="260">
        <v>0</v>
      </c>
      <c r="BO15" s="260">
        <v>0</v>
      </c>
      <c r="BP15" s="260">
        <v>0</v>
      </c>
      <c r="BQ15" s="260">
        <v>0</v>
      </c>
      <c r="BR15" s="260">
        <v>0</v>
      </c>
      <c r="BS15" s="260">
        <v>0</v>
      </c>
      <c r="BT15" s="260">
        <v>0</v>
      </c>
      <c r="BU15" s="260">
        <v>0</v>
      </c>
      <c r="BV15" s="260">
        <v>0</v>
      </c>
      <c r="BW15" s="260">
        <v>0</v>
      </c>
      <c r="BX15" s="260">
        <v>0</v>
      </c>
      <c r="BY15" s="260">
        <v>0</v>
      </c>
      <c r="BZ15" s="260">
        <v>0</v>
      </c>
      <c r="CA15" s="260">
        <v>0</v>
      </c>
      <c r="CB15" s="260">
        <v>0</v>
      </c>
      <c r="CC15" s="260">
        <v>0</v>
      </c>
      <c r="CD15" s="260">
        <v>0</v>
      </c>
      <c r="CE15" s="260">
        <v>0</v>
      </c>
      <c r="CF15" s="260">
        <v>0</v>
      </c>
      <c r="CG15" s="260">
        <v>0</v>
      </c>
      <c r="CH15" s="260">
        <v>0</v>
      </c>
    </row>
    <row r="16" spans="1:86" x14ac:dyDescent="0.25">
      <c r="A16" s="170">
        <v>1</v>
      </c>
      <c r="B16" s="170">
        <v>15</v>
      </c>
      <c r="C16" s="259">
        <v>0</v>
      </c>
      <c r="D16" s="259">
        <v>0</v>
      </c>
      <c r="E16" s="259">
        <v>0</v>
      </c>
      <c r="F16" s="259">
        <v>0</v>
      </c>
      <c r="G16" s="259">
        <v>0</v>
      </c>
      <c r="H16" s="259">
        <v>0</v>
      </c>
      <c r="I16" s="260">
        <v>0</v>
      </c>
      <c r="J16" s="260">
        <v>0</v>
      </c>
      <c r="K16" s="260">
        <v>0</v>
      </c>
      <c r="L16" s="260">
        <v>0</v>
      </c>
      <c r="M16" s="260">
        <v>0</v>
      </c>
      <c r="N16" s="260">
        <v>0</v>
      </c>
      <c r="O16" s="260">
        <v>0</v>
      </c>
      <c r="P16" s="260">
        <v>0</v>
      </c>
      <c r="Q16" s="260">
        <v>0</v>
      </c>
      <c r="R16" s="260">
        <v>0</v>
      </c>
      <c r="S16" s="260">
        <v>0</v>
      </c>
      <c r="T16" s="260">
        <v>0</v>
      </c>
      <c r="U16" s="260">
        <v>0</v>
      </c>
      <c r="V16" s="260">
        <v>0</v>
      </c>
      <c r="W16" s="260">
        <v>0</v>
      </c>
      <c r="X16" s="260">
        <v>0</v>
      </c>
      <c r="Y16" s="260">
        <v>0</v>
      </c>
      <c r="Z16" s="260">
        <v>0</v>
      </c>
      <c r="AA16" s="260">
        <v>0</v>
      </c>
      <c r="AB16" s="260">
        <v>0</v>
      </c>
      <c r="AC16" s="260">
        <v>0</v>
      </c>
      <c r="AD16" s="260">
        <v>0</v>
      </c>
      <c r="AE16" s="260">
        <v>0</v>
      </c>
      <c r="AF16" s="260">
        <v>0</v>
      </c>
      <c r="AG16" s="260">
        <v>0</v>
      </c>
      <c r="AH16" s="260">
        <v>0</v>
      </c>
      <c r="AI16" s="260">
        <v>0</v>
      </c>
      <c r="AJ16" s="260">
        <v>0</v>
      </c>
      <c r="AK16" s="260">
        <v>0</v>
      </c>
      <c r="AL16" s="260">
        <v>0</v>
      </c>
      <c r="AM16" s="260">
        <v>0</v>
      </c>
      <c r="AN16" s="260">
        <v>0</v>
      </c>
      <c r="AO16" s="260">
        <v>0</v>
      </c>
      <c r="AP16" s="260">
        <v>0</v>
      </c>
      <c r="AQ16" s="260">
        <v>0</v>
      </c>
      <c r="AR16" s="260">
        <v>0</v>
      </c>
      <c r="AS16" s="260">
        <v>0</v>
      </c>
      <c r="AT16" s="260">
        <v>0</v>
      </c>
      <c r="AU16" s="260">
        <v>0</v>
      </c>
      <c r="AV16" s="260">
        <v>0</v>
      </c>
      <c r="AW16" s="260">
        <v>0</v>
      </c>
      <c r="AX16" s="260">
        <v>0</v>
      </c>
      <c r="AY16" s="260">
        <v>0</v>
      </c>
      <c r="AZ16" s="260">
        <v>0</v>
      </c>
      <c r="BA16" s="260">
        <v>0</v>
      </c>
      <c r="BB16" s="260">
        <v>0</v>
      </c>
      <c r="BC16" s="260">
        <v>0</v>
      </c>
      <c r="BD16" s="260">
        <v>0</v>
      </c>
      <c r="BE16" s="260">
        <v>0</v>
      </c>
      <c r="BF16" s="260">
        <v>0</v>
      </c>
      <c r="BG16" s="260">
        <v>0</v>
      </c>
      <c r="BH16" s="260">
        <v>0</v>
      </c>
      <c r="BI16" s="260">
        <v>0</v>
      </c>
      <c r="BJ16" s="260">
        <v>0</v>
      </c>
      <c r="BK16" s="260">
        <v>0</v>
      </c>
      <c r="BL16" s="260">
        <v>0</v>
      </c>
      <c r="BM16" s="260">
        <v>0</v>
      </c>
      <c r="BN16" s="260">
        <v>0</v>
      </c>
      <c r="BO16" s="260">
        <v>0</v>
      </c>
      <c r="BP16" s="260">
        <v>0</v>
      </c>
      <c r="BQ16" s="260">
        <v>0</v>
      </c>
      <c r="BR16" s="260">
        <v>0</v>
      </c>
      <c r="BS16" s="260">
        <v>0</v>
      </c>
      <c r="BT16" s="260">
        <v>0</v>
      </c>
      <c r="BU16" s="260">
        <v>0</v>
      </c>
      <c r="BV16" s="260">
        <v>0</v>
      </c>
      <c r="BW16" s="260">
        <v>0</v>
      </c>
      <c r="BX16" s="260">
        <v>0</v>
      </c>
      <c r="BY16" s="260">
        <v>0</v>
      </c>
      <c r="BZ16" s="260">
        <v>0</v>
      </c>
      <c r="CA16" s="260">
        <v>0</v>
      </c>
      <c r="CB16" s="260">
        <v>0</v>
      </c>
      <c r="CC16" s="260">
        <v>0</v>
      </c>
      <c r="CD16" s="260">
        <v>0</v>
      </c>
      <c r="CE16" s="260">
        <v>0</v>
      </c>
      <c r="CF16" s="260">
        <v>0</v>
      </c>
      <c r="CG16" s="260">
        <v>0</v>
      </c>
      <c r="CH16" s="260">
        <v>0</v>
      </c>
    </row>
    <row r="17" spans="1:86" x14ac:dyDescent="0.25">
      <c r="A17" s="170">
        <v>1</v>
      </c>
      <c r="B17" s="170">
        <v>16</v>
      </c>
      <c r="C17" s="259">
        <v>0</v>
      </c>
      <c r="D17" s="259">
        <v>0</v>
      </c>
      <c r="E17" s="259">
        <v>0</v>
      </c>
      <c r="F17" s="259">
        <v>0</v>
      </c>
      <c r="G17" s="259">
        <v>0</v>
      </c>
      <c r="H17" s="259">
        <v>0</v>
      </c>
      <c r="I17" s="260">
        <v>0</v>
      </c>
      <c r="J17" s="260">
        <v>0</v>
      </c>
      <c r="K17" s="260">
        <v>0</v>
      </c>
      <c r="L17" s="260">
        <v>0</v>
      </c>
      <c r="M17" s="260">
        <v>0</v>
      </c>
      <c r="N17" s="260">
        <v>0</v>
      </c>
      <c r="O17" s="260">
        <v>0</v>
      </c>
      <c r="P17" s="260">
        <v>0</v>
      </c>
      <c r="Q17" s="260">
        <v>0</v>
      </c>
      <c r="R17" s="260">
        <v>0</v>
      </c>
      <c r="S17" s="260">
        <v>0</v>
      </c>
      <c r="T17" s="260">
        <v>0</v>
      </c>
      <c r="U17" s="260">
        <v>0</v>
      </c>
      <c r="V17" s="260">
        <v>0</v>
      </c>
      <c r="W17" s="260">
        <v>0</v>
      </c>
      <c r="X17" s="260">
        <v>0</v>
      </c>
      <c r="Y17" s="260">
        <v>0</v>
      </c>
      <c r="Z17" s="260">
        <v>0</v>
      </c>
      <c r="AA17" s="260">
        <v>0</v>
      </c>
      <c r="AB17" s="260">
        <v>0</v>
      </c>
      <c r="AC17" s="260">
        <v>0</v>
      </c>
      <c r="AD17" s="260">
        <v>0</v>
      </c>
      <c r="AE17" s="260">
        <v>0</v>
      </c>
      <c r="AF17" s="260">
        <v>0</v>
      </c>
      <c r="AG17" s="260">
        <v>0</v>
      </c>
      <c r="AH17" s="260">
        <v>0</v>
      </c>
      <c r="AI17" s="260">
        <v>0</v>
      </c>
      <c r="AJ17" s="260">
        <v>0</v>
      </c>
      <c r="AK17" s="260">
        <v>0</v>
      </c>
      <c r="AL17" s="260">
        <v>0</v>
      </c>
      <c r="AM17" s="260">
        <v>0</v>
      </c>
      <c r="AN17" s="260">
        <v>0</v>
      </c>
      <c r="AO17" s="260">
        <v>0</v>
      </c>
      <c r="AP17" s="260">
        <v>0</v>
      </c>
      <c r="AQ17" s="260">
        <v>0</v>
      </c>
      <c r="AR17" s="260">
        <v>0</v>
      </c>
      <c r="AS17" s="260">
        <v>0</v>
      </c>
      <c r="AT17" s="260">
        <v>0</v>
      </c>
      <c r="AU17" s="260">
        <v>0</v>
      </c>
      <c r="AV17" s="260">
        <v>0</v>
      </c>
      <c r="AW17" s="260">
        <v>0</v>
      </c>
      <c r="AX17" s="260">
        <v>0</v>
      </c>
      <c r="AY17" s="260">
        <v>0</v>
      </c>
      <c r="AZ17" s="260">
        <v>0</v>
      </c>
      <c r="BA17" s="260">
        <v>0</v>
      </c>
      <c r="BB17" s="260">
        <v>0</v>
      </c>
      <c r="BC17" s="260">
        <v>0</v>
      </c>
      <c r="BD17" s="260">
        <v>0</v>
      </c>
      <c r="BE17" s="260">
        <v>0</v>
      </c>
      <c r="BF17" s="260">
        <v>0</v>
      </c>
      <c r="BG17" s="260">
        <v>0</v>
      </c>
      <c r="BH17" s="260">
        <v>0</v>
      </c>
      <c r="BI17" s="260">
        <v>0</v>
      </c>
      <c r="BJ17" s="260">
        <v>0</v>
      </c>
      <c r="BK17" s="260">
        <v>0</v>
      </c>
      <c r="BL17" s="260">
        <v>0</v>
      </c>
      <c r="BM17" s="260">
        <v>0</v>
      </c>
      <c r="BN17" s="260">
        <v>0</v>
      </c>
      <c r="BO17" s="260">
        <v>0</v>
      </c>
      <c r="BP17" s="260">
        <v>0</v>
      </c>
      <c r="BQ17" s="260">
        <v>0</v>
      </c>
      <c r="BR17" s="260">
        <v>0</v>
      </c>
      <c r="BS17" s="260">
        <v>0</v>
      </c>
      <c r="BT17" s="260">
        <v>0</v>
      </c>
      <c r="BU17" s="260">
        <v>0</v>
      </c>
      <c r="BV17" s="260">
        <v>0</v>
      </c>
      <c r="BW17" s="260">
        <v>0</v>
      </c>
      <c r="BX17" s="260">
        <v>0</v>
      </c>
      <c r="BY17" s="260">
        <v>0</v>
      </c>
      <c r="BZ17" s="260">
        <v>0</v>
      </c>
      <c r="CA17" s="260">
        <v>0</v>
      </c>
      <c r="CB17" s="260">
        <v>0</v>
      </c>
      <c r="CC17" s="260">
        <v>0</v>
      </c>
      <c r="CD17" s="260">
        <v>0</v>
      </c>
      <c r="CE17" s="260">
        <v>0</v>
      </c>
      <c r="CF17" s="260">
        <v>0</v>
      </c>
      <c r="CG17" s="260">
        <v>0</v>
      </c>
      <c r="CH17" s="260">
        <v>0</v>
      </c>
    </row>
    <row r="18" spans="1:86" x14ac:dyDescent="0.25">
      <c r="A18" s="170">
        <v>1</v>
      </c>
      <c r="B18" s="170">
        <v>17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60">
        <v>0</v>
      </c>
      <c r="J18" s="260">
        <v>0</v>
      </c>
      <c r="K18" s="260">
        <v>0</v>
      </c>
      <c r="L18" s="260">
        <v>0</v>
      </c>
      <c r="M18" s="260">
        <v>0</v>
      </c>
      <c r="N18" s="260">
        <v>0</v>
      </c>
      <c r="O18" s="260">
        <v>0</v>
      </c>
      <c r="P18" s="260">
        <v>0</v>
      </c>
      <c r="Q18" s="260">
        <v>0</v>
      </c>
      <c r="R18" s="260">
        <v>0</v>
      </c>
      <c r="S18" s="260">
        <v>0</v>
      </c>
      <c r="T18" s="260">
        <v>0</v>
      </c>
      <c r="U18" s="260">
        <v>0</v>
      </c>
      <c r="V18" s="260">
        <v>0</v>
      </c>
      <c r="W18" s="260">
        <v>0</v>
      </c>
      <c r="X18" s="260">
        <v>0</v>
      </c>
      <c r="Y18" s="260">
        <v>0</v>
      </c>
      <c r="Z18" s="260">
        <v>0</v>
      </c>
      <c r="AA18" s="260">
        <v>0</v>
      </c>
      <c r="AB18" s="260">
        <v>0</v>
      </c>
      <c r="AC18" s="260">
        <v>0</v>
      </c>
      <c r="AD18" s="260">
        <v>0</v>
      </c>
      <c r="AE18" s="260">
        <v>0</v>
      </c>
      <c r="AF18" s="260">
        <v>0</v>
      </c>
      <c r="AG18" s="260">
        <v>0</v>
      </c>
      <c r="AH18" s="260">
        <v>0</v>
      </c>
      <c r="AI18" s="260">
        <v>0</v>
      </c>
      <c r="AJ18" s="260">
        <v>0</v>
      </c>
      <c r="AK18" s="260">
        <v>0</v>
      </c>
      <c r="AL18" s="260">
        <v>0</v>
      </c>
      <c r="AM18" s="260">
        <v>0</v>
      </c>
      <c r="AN18" s="260">
        <v>0</v>
      </c>
      <c r="AO18" s="260">
        <v>0</v>
      </c>
      <c r="AP18" s="260">
        <v>0</v>
      </c>
      <c r="AQ18" s="260">
        <v>0</v>
      </c>
      <c r="AR18" s="260">
        <v>0</v>
      </c>
      <c r="AS18" s="260">
        <v>0</v>
      </c>
      <c r="AT18" s="260">
        <v>0</v>
      </c>
      <c r="AU18" s="260">
        <v>0</v>
      </c>
      <c r="AV18" s="260">
        <v>0</v>
      </c>
      <c r="AW18" s="260">
        <v>0</v>
      </c>
      <c r="AX18" s="260">
        <v>0</v>
      </c>
      <c r="AY18" s="260">
        <v>0</v>
      </c>
      <c r="AZ18" s="260">
        <v>0</v>
      </c>
      <c r="BA18" s="260">
        <v>0</v>
      </c>
      <c r="BB18" s="260">
        <v>0</v>
      </c>
      <c r="BC18" s="260">
        <v>0</v>
      </c>
      <c r="BD18" s="260">
        <v>0</v>
      </c>
      <c r="BE18" s="260">
        <v>0</v>
      </c>
      <c r="BF18" s="260">
        <v>0</v>
      </c>
      <c r="BG18" s="260">
        <v>0</v>
      </c>
      <c r="BH18" s="260">
        <v>0</v>
      </c>
      <c r="BI18" s="260">
        <v>0</v>
      </c>
      <c r="BJ18" s="260">
        <v>0</v>
      </c>
      <c r="BK18" s="260">
        <v>0</v>
      </c>
      <c r="BL18" s="260">
        <v>0</v>
      </c>
      <c r="BM18" s="260">
        <v>0</v>
      </c>
      <c r="BN18" s="260">
        <v>0</v>
      </c>
      <c r="BO18" s="260">
        <v>0</v>
      </c>
      <c r="BP18" s="260">
        <v>0</v>
      </c>
      <c r="BQ18" s="260">
        <v>0</v>
      </c>
      <c r="BR18" s="260">
        <v>0</v>
      </c>
      <c r="BS18" s="260">
        <v>0</v>
      </c>
      <c r="BT18" s="260">
        <v>0</v>
      </c>
      <c r="BU18" s="260">
        <v>0</v>
      </c>
      <c r="BV18" s="260">
        <v>0</v>
      </c>
      <c r="BW18" s="260">
        <v>0</v>
      </c>
      <c r="BX18" s="260">
        <v>0</v>
      </c>
      <c r="BY18" s="260">
        <v>0</v>
      </c>
      <c r="BZ18" s="260">
        <v>0</v>
      </c>
      <c r="CA18" s="260">
        <v>0</v>
      </c>
      <c r="CB18" s="260">
        <v>0</v>
      </c>
      <c r="CC18" s="260">
        <v>0</v>
      </c>
      <c r="CD18" s="260">
        <v>0</v>
      </c>
      <c r="CE18" s="260">
        <v>0</v>
      </c>
      <c r="CF18" s="260">
        <v>0</v>
      </c>
      <c r="CG18" s="260">
        <v>0</v>
      </c>
      <c r="CH18" s="260">
        <v>0</v>
      </c>
    </row>
    <row r="19" spans="1:86" x14ac:dyDescent="0.25">
      <c r="A19" s="170">
        <v>1</v>
      </c>
      <c r="B19" s="170">
        <v>18</v>
      </c>
      <c r="C19" s="259">
        <v>0</v>
      </c>
      <c r="D19" s="259">
        <v>0</v>
      </c>
      <c r="E19" s="259">
        <v>0</v>
      </c>
      <c r="F19" s="259">
        <v>0</v>
      </c>
      <c r="G19" s="259">
        <v>0</v>
      </c>
      <c r="H19" s="259">
        <v>0</v>
      </c>
      <c r="I19" s="260">
        <v>0</v>
      </c>
      <c r="J19" s="260">
        <v>0</v>
      </c>
      <c r="K19" s="260">
        <v>0</v>
      </c>
      <c r="L19" s="260">
        <v>0</v>
      </c>
      <c r="M19" s="260">
        <v>0</v>
      </c>
      <c r="N19" s="260">
        <v>0</v>
      </c>
      <c r="O19" s="260">
        <v>0</v>
      </c>
      <c r="P19" s="260">
        <v>0</v>
      </c>
      <c r="Q19" s="260">
        <v>0</v>
      </c>
      <c r="R19" s="260">
        <v>0</v>
      </c>
      <c r="S19" s="260">
        <v>0</v>
      </c>
      <c r="T19" s="260">
        <v>0</v>
      </c>
      <c r="U19" s="260">
        <v>0</v>
      </c>
      <c r="V19" s="260">
        <v>0</v>
      </c>
      <c r="W19" s="260">
        <v>0</v>
      </c>
      <c r="X19" s="260">
        <v>0</v>
      </c>
      <c r="Y19" s="260">
        <v>0</v>
      </c>
      <c r="Z19" s="260">
        <v>0</v>
      </c>
      <c r="AA19" s="260">
        <v>0</v>
      </c>
      <c r="AB19" s="260">
        <v>0</v>
      </c>
      <c r="AC19" s="260">
        <v>0</v>
      </c>
      <c r="AD19" s="260">
        <v>0</v>
      </c>
      <c r="AE19" s="260">
        <v>0</v>
      </c>
      <c r="AF19" s="260">
        <v>0</v>
      </c>
      <c r="AG19" s="260">
        <v>0</v>
      </c>
      <c r="AH19" s="260">
        <v>0</v>
      </c>
      <c r="AI19" s="260">
        <v>0</v>
      </c>
      <c r="AJ19" s="260">
        <v>0</v>
      </c>
      <c r="AK19" s="260">
        <v>0</v>
      </c>
      <c r="AL19" s="260">
        <v>0</v>
      </c>
      <c r="AM19" s="260">
        <v>0</v>
      </c>
      <c r="AN19" s="260">
        <v>0</v>
      </c>
      <c r="AO19" s="260">
        <v>0</v>
      </c>
      <c r="AP19" s="260">
        <v>0</v>
      </c>
      <c r="AQ19" s="260">
        <v>0</v>
      </c>
      <c r="AR19" s="260">
        <v>0</v>
      </c>
      <c r="AS19" s="260">
        <v>0</v>
      </c>
      <c r="AT19" s="260">
        <v>0</v>
      </c>
      <c r="AU19" s="260">
        <v>0</v>
      </c>
      <c r="AV19" s="260">
        <v>0</v>
      </c>
      <c r="AW19" s="260">
        <v>0</v>
      </c>
      <c r="AX19" s="260">
        <v>0</v>
      </c>
      <c r="AY19" s="260">
        <v>0</v>
      </c>
      <c r="AZ19" s="260">
        <v>0</v>
      </c>
      <c r="BA19" s="260">
        <v>0</v>
      </c>
      <c r="BB19" s="260">
        <v>0</v>
      </c>
      <c r="BC19" s="260">
        <v>0</v>
      </c>
      <c r="BD19" s="260">
        <v>0</v>
      </c>
      <c r="BE19" s="260">
        <v>0</v>
      </c>
      <c r="BF19" s="260">
        <v>0</v>
      </c>
      <c r="BG19" s="260">
        <v>0</v>
      </c>
      <c r="BH19" s="260">
        <v>0</v>
      </c>
      <c r="BI19" s="260">
        <v>0</v>
      </c>
      <c r="BJ19" s="260">
        <v>0</v>
      </c>
      <c r="BK19" s="260">
        <v>0</v>
      </c>
      <c r="BL19" s="260">
        <v>0</v>
      </c>
      <c r="BM19" s="260">
        <v>0</v>
      </c>
      <c r="BN19" s="260">
        <v>0</v>
      </c>
      <c r="BO19" s="260">
        <v>0</v>
      </c>
      <c r="BP19" s="260">
        <v>0</v>
      </c>
      <c r="BQ19" s="260">
        <v>0</v>
      </c>
      <c r="BR19" s="260">
        <v>0</v>
      </c>
      <c r="BS19" s="260">
        <v>0</v>
      </c>
      <c r="BT19" s="260">
        <v>0</v>
      </c>
      <c r="BU19" s="260">
        <v>0</v>
      </c>
      <c r="BV19" s="260">
        <v>0</v>
      </c>
      <c r="BW19" s="260">
        <v>0</v>
      </c>
      <c r="BX19" s="260">
        <v>0</v>
      </c>
      <c r="BY19" s="260">
        <v>0</v>
      </c>
      <c r="BZ19" s="260">
        <v>0</v>
      </c>
      <c r="CA19" s="260">
        <v>0</v>
      </c>
      <c r="CB19" s="260">
        <v>0</v>
      </c>
      <c r="CC19" s="260">
        <v>0</v>
      </c>
      <c r="CD19" s="260">
        <v>0</v>
      </c>
      <c r="CE19" s="260">
        <v>0</v>
      </c>
      <c r="CF19" s="260">
        <v>0</v>
      </c>
      <c r="CG19" s="260">
        <v>0</v>
      </c>
      <c r="CH19" s="260">
        <v>0</v>
      </c>
    </row>
    <row r="20" spans="1:86" x14ac:dyDescent="0.25">
      <c r="A20" s="170">
        <v>1</v>
      </c>
      <c r="B20" s="170">
        <v>19</v>
      </c>
      <c r="C20" s="259">
        <v>0</v>
      </c>
      <c r="D20" s="259">
        <v>0</v>
      </c>
      <c r="E20" s="259">
        <v>0</v>
      </c>
      <c r="F20" s="259">
        <v>0</v>
      </c>
      <c r="G20" s="259">
        <v>0</v>
      </c>
      <c r="H20" s="259">
        <v>0</v>
      </c>
      <c r="I20" s="260">
        <v>0</v>
      </c>
      <c r="J20" s="260">
        <v>0</v>
      </c>
      <c r="K20" s="260">
        <v>0</v>
      </c>
      <c r="L20" s="260">
        <v>0</v>
      </c>
      <c r="M20" s="260">
        <v>0</v>
      </c>
      <c r="N20" s="260">
        <v>0</v>
      </c>
      <c r="O20" s="260">
        <v>0</v>
      </c>
      <c r="P20" s="260">
        <v>0</v>
      </c>
      <c r="Q20" s="260">
        <v>0</v>
      </c>
      <c r="R20" s="260">
        <v>0</v>
      </c>
      <c r="S20" s="260">
        <v>0</v>
      </c>
      <c r="T20" s="260">
        <v>0</v>
      </c>
      <c r="U20" s="260">
        <v>0</v>
      </c>
      <c r="V20" s="260">
        <v>0</v>
      </c>
      <c r="W20" s="260">
        <v>0</v>
      </c>
      <c r="X20" s="260">
        <v>0</v>
      </c>
      <c r="Y20" s="260">
        <v>0</v>
      </c>
      <c r="Z20" s="260">
        <v>0</v>
      </c>
      <c r="AA20" s="260">
        <v>0</v>
      </c>
      <c r="AB20" s="260">
        <v>0</v>
      </c>
      <c r="AC20" s="260">
        <v>0</v>
      </c>
      <c r="AD20" s="260">
        <v>0</v>
      </c>
      <c r="AE20" s="260">
        <v>0</v>
      </c>
      <c r="AF20" s="260">
        <v>0</v>
      </c>
      <c r="AG20" s="260">
        <v>0</v>
      </c>
      <c r="AH20" s="260">
        <v>0</v>
      </c>
      <c r="AI20" s="260">
        <v>0</v>
      </c>
      <c r="AJ20" s="260">
        <v>0</v>
      </c>
      <c r="AK20" s="260">
        <v>0</v>
      </c>
      <c r="AL20" s="260">
        <v>0</v>
      </c>
      <c r="AM20" s="260">
        <v>0</v>
      </c>
      <c r="AN20" s="260">
        <v>0</v>
      </c>
      <c r="AO20" s="260">
        <v>0</v>
      </c>
      <c r="AP20" s="260">
        <v>0</v>
      </c>
      <c r="AQ20" s="260">
        <v>0</v>
      </c>
      <c r="AR20" s="260">
        <v>0</v>
      </c>
      <c r="AS20" s="260">
        <v>0</v>
      </c>
      <c r="AT20" s="260">
        <v>0</v>
      </c>
      <c r="AU20" s="260">
        <v>0</v>
      </c>
      <c r="AV20" s="260">
        <v>0</v>
      </c>
      <c r="AW20" s="260">
        <v>0</v>
      </c>
      <c r="AX20" s="260">
        <v>0</v>
      </c>
      <c r="AY20" s="260">
        <v>0</v>
      </c>
      <c r="AZ20" s="260">
        <v>0</v>
      </c>
      <c r="BA20" s="260">
        <v>0</v>
      </c>
      <c r="BB20" s="260">
        <v>0</v>
      </c>
      <c r="BC20" s="260">
        <v>0</v>
      </c>
      <c r="BD20" s="260">
        <v>0</v>
      </c>
      <c r="BE20" s="260">
        <v>0</v>
      </c>
      <c r="BF20" s="260">
        <v>0</v>
      </c>
      <c r="BG20" s="260">
        <v>0</v>
      </c>
      <c r="BH20" s="260">
        <v>0</v>
      </c>
      <c r="BI20" s="260">
        <v>0</v>
      </c>
      <c r="BJ20" s="260">
        <v>0</v>
      </c>
      <c r="BK20" s="260">
        <v>0</v>
      </c>
      <c r="BL20" s="260">
        <v>0</v>
      </c>
      <c r="BM20" s="260">
        <v>0</v>
      </c>
      <c r="BN20" s="260">
        <v>0</v>
      </c>
      <c r="BO20" s="260">
        <v>0</v>
      </c>
      <c r="BP20" s="260">
        <v>0</v>
      </c>
      <c r="BQ20" s="260">
        <v>0</v>
      </c>
      <c r="BR20" s="260">
        <v>0</v>
      </c>
      <c r="BS20" s="260">
        <v>0</v>
      </c>
      <c r="BT20" s="260">
        <v>0</v>
      </c>
      <c r="BU20" s="260">
        <v>0</v>
      </c>
      <c r="BV20" s="260">
        <v>0</v>
      </c>
      <c r="BW20" s="260">
        <v>0</v>
      </c>
      <c r="BX20" s="260">
        <v>0</v>
      </c>
      <c r="BY20" s="260">
        <v>0</v>
      </c>
      <c r="BZ20" s="260">
        <v>0</v>
      </c>
      <c r="CA20" s="260">
        <v>0</v>
      </c>
      <c r="CB20" s="260">
        <v>0</v>
      </c>
      <c r="CC20" s="260">
        <v>0</v>
      </c>
      <c r="CD20" s="260">
        <v>0</v>
      </c>
      <c r="CE20" s="260">
        <v>0</v>
      </c>
      <c r="CF20" s="260">
        <v>0</v>
      </c>
      <c r="CG20" s="260">
        <v>0</v>
      </c>
      <c r="CH20" s="260">
        <v>0</v>
      </c>
    </row>
    <row r="21" spans="1:86" x14ac:dyDescent="0.25">
      <c r="A21" s="170">
        <v>1</v>
      </c>
      <c r="B21" s="170">
        <v>20</v>
      </c>
      <c r="C21" s="259">
        <v>28.178901672363281</v>
      </c>
      <c r="D21" s="259">
        <v>28.201656341552734</v>
      </c>
      <c r="E21" s="259">
        <v>28.224018096923828</v>
      </c>
      <c r="F21" s="259">
        <v>28.245994567871094</v>
      </c>
      <c r="G21" s="259">
        <v>28.26759147644043</v>
      </c>
      <c r="H21" s="259">
        <v>28.288814544677734</v>
      </c>
      <c r="I21" s="260">
        <v>27.927381</v>
      </c>
      <c r="J21" s="260">
        <v>27.943764999999999</v>
      </c>
      <c r="K21" s="260">
        <v>27.959925999999999</v>
      </c>
      <c r="L21" s="260">
        <v>27.975881999999999</v>
      </c>
      <c r="M21" s="260">
        <v>27.991647999999998</v>
      </c>
      <c r="N21" s="260">
        <v>28.007241</v>
      </c>
      <c r="O21" s="260">
        <v>28.022675999999997</v>
      </c>
      <c r="P21" s="260">
        <v>28.037966999999998</v>
      </c>
      <c r="Q21" s="260">
        <v>28.053128999999998</v>
      </c>
      <c r="R21" s="260">
        <v>28.068171999999997</v>
      </c>
      <c r="S21" s="260">
        <v>28.083107999999999</v>
      </c>
      <c r="T21" s="260">
        <v>28.097943999999998</v>
      </c>
      <c r="U21" s="260">
        <v>28.112687999999999</v>
      </c>
      <c r="V21" s="260">
        <v>28.127343999999997</v>
      </c>
      <c r="W21" s="260">
        <v>28.141912999999999</v>
      </c>
      <c r="X21" s="260">
        <v>28.156395</v>
      </c>
      <c r="Y21" s="260">
        <v>28.170791999999999</v>
      </c>
      <c r="Z21" s="260">
        <v>28.185102999999998</v>
      </c>
      <c r="AA21" s="260">
        <v>28.199327999999998</v>
      </c>
      <c r="AB21" s="260">
        <v>28.213467999999999</v>
      </c>
      <c r="AC21" s="260">
        <v>28.227522999999998</v>
      </c>
      <c r="AD21" s="260">
        <v>28.241492999999998</v>
      </c>
      <c r="AE21" s="260">
        <v>28.255378999999998</v>
      </c>
      <c r="AF21" s="260">
        <v>28.269181</v>
      </c>
      <c r="AG21" s="260">
        <v>28.282899999999998</v>
      </c>
      <c r="AH21" s="260">
        <v>28.296534999999999</v>
      </c>
      <c r="AI21" s="260">
        <v>28.310086999999999</v>
      </c>
      <c r="AJ21" s="260">
        <v>28.323556</v>
      </c>
      <c r="AK21" s="260">
        <v>28.336942999999998</v>
      </c>
      <c r="AL21" s="260">
        <v>28.350247</v>
      </c>
      <c r="AM21" s="260">
        <v>28.36347</v>
      </c>
      <c r="AN21" s="260">
        <v>28.376611</v>
      </c>
      <c r="AO21" s="260">
        <v>28.389671</v>
      </c>
      <c r="AP21" s="260">
        <v>28.402649999999998</v>
      </c>
      <c r="AQ21" s="260">
        <v>28.415548999999999</v>
      </c>
      <c r="AR21" s="260">
        <v>28.428366999999998</v>
      </c>
      <c r="AS21" s="260">
        <v>28.441105</v>
      </c>
      <c r="AT21" s="260">
        <v>28.453764</v>
      </c>
      <c r="AU21" s="260">
        <v>28.466342999999998</v>
      </c>
      <c r="AV21" s="260">
        <v>28.478843999999999</v>
      </c>
      <c r="AW21" s="260">
        <v>28.491266</v>
      </c>
      <c r="AX21" s="260">
        <v>28.503608999999997</v>
      </c>
      <c r="AY21" s="260">
        <v>28.515874999999998</v>
      </c>
      <c r="AZ21" s="260">
        <v>28.528061999999998</v>
      </c>
      <c r="BA21" s="260">
        <v>28.540172999999999</v>
      </c>
      <c r="BB21" s="260">
        <v>28.552206999999999</v>
      </c>
      <c r="BC21" s="260">
        <v>28.564162999999997</v>
      </c>
      <c r="BD21" s="260">
        <v>28.576044</v>
      </c>
      <c r="BE21" s="260">
        <v>28.587847999999997</v>
      </c>
      <c r="BF21" s="260">
        <v>28.599577</v>
      </c>
      <c r="BG21" s="260">
        <v>28.611231</v>
      </c>
      <c r="BH21" s="260">
        <v>28.622809</v>
      </c>
      <c r="BI21" s="260">
        <v>28.634312999999999</v>
      </c>
      <c r="BJ21" s="260">
        <v>28.645741999999998</v>
      </c>
      <c r="BK21" s="260">
        <v>28.657097</v>
      </c>
      <c r="BL21" s="260">
        <v>28.668378999999998</v>
      </c>
      <c r="BM21" s="260">
        <v>28.679586999999998</v>
      </c>
      <c r="BN21" s="260">
        <v>28.690722999999998</v>
      </c>
      <c r="BO21" s="260">
        <v>28.701784999999997</v>
      </c>
      <c r="BP21" s="260">
        <v>28.712775999999998</v>
      </c>
      <c r="BQ21" s="260">
        <v>28.723693999999998</v>
      </c>
      <c r="BR21" s="260">
        <v>28.734541</v>
      </c>
      <c r="BS21" s="260">
        <v>28.745315999999999</v>
      </c>
      <c r="BT21" s="260">
        <v>28.756020999999997</v>
      </c>
      <c r="BU21" s="260">
        <v>28.766655</v>
      </c>
      <c r="BV21" s="260">
        <v>28.777217999999998</v>
      </c>
      <c r="BW21" s="260">
        <v>28.787711999999999</v>
      </c>
      <c r="BX21" s="260">
        <v>28.798136</v>
      </c>
      <c r="BY21" s="260">
        <v>28.808489999999999</v>
      </c>
      <c r="BZ21" s="260">
        <v>28.818776</v>
      </c>
      <c r="CA21" s="260">
        <v>28.828992999999997</v>
      </c>
      <c r="CB21" s="260">
        <v>28.839141999999999</v>
      </c>
      <c r="CC21" s="260">
        <v>28.849222999999999</v>
      </c>
      <c r="CD21" s="260">
        <v>28.859237</v>
      </c>
      <c r="CE21" s="260">
        <v>28.869183</v>
      </c>
      <c r="CF21" s="260">
        <v>28.879061999999998</v>
      </c>
      <c r="CG21" s="260">
        <v>28.888874999999999</v>
      </c>
      <c r="CH21" s="260">
        <v>28.898622</v>
      </c>
    </row>
    <row r="22" spans="1:86" x14ac:dyDescent="0.25">
      <c r="A22" s="170">
        <v>1</v>
      </c>
      <c r="B22" s="170">
        <v>21</v>
      </c>
      <c r="C22" s="259">
        <v>28.031974792480469</v>
      </c>
      <c r="D22" s="259">
        <v>28.055507659912109</v>
      </c>
      <c r="E22" s="259">
        <v>28.078630447387695</v>
      </c>
      <c r="F22" s="259">
        <v>28.101354598999023</v>
      </c>
      <c r="G22" s="259">
        <v>28.123685836791992</v>
      </c>
      <c r="H22" s="259">
        <v>28.145633697509766</v>
      </c>
      <c r="I22" s="260">
        <v>27.784307999999999</v>
      </c>
      <c r="J22" s="260">
        <v>27.801074999999997</v>
      </c>
      <c r="K22" s="260">
        <v>27.817618999999997</v>
      </c>
      <c r="L22" s="260">
        <v>27.833955</v>
      </c>
      <c r="M22" s="260">
        <v>27.850099999999998</v>
      </c>
      <c r="N22" s="260">
        <v>27.866069</v>
      </c>
      <c r="O22" s="260">
        <v>27.881878</v>
      </c>
      <c r="P22" s="260">
        <v>27.897541999999998</v>
      </c>
      <c r="Q22" s="260">
        <v>27.913073999999998</v>
      </c>
      <c r="R22" s="260">
        <v>27.928487000000001</v>
      </c>
      <c r="S22" s="260">
        <v>27.943790999999997</v>
      </c>
      <c r="T22" s="260">
        <v>27.958993999999997</v>
      </c>
      <c r="U22" s="260">
        <v>27.974102999999999</v>
      </c>
      <c r="V22" s="260">
        <v>27.989122999999999</v>
      </c>
      <c r="W22" s="260">
        <v>28.004054999999997</v>
      </c>
      <c r="X22" s="260">
        <v>28.018898</v>
      </c>
      <c r="Y22" s="260">
        <v>28.033655</v>
      </c>
      <c r="Z22" s="260">
        <v>28.048323999999997</v>
      </c>
      <c r="AA22" s="260">
        <v>28.062905999999998</v>
      </c>
      <c r="AB22" s="260">
        <v>28.077401999999999</v>
      </c>
      <c r="AC22" s="260">
        <v>28.091811</v>
      </c>
      <c r="AD22" s="260">
        <v>28.106134999999998</v>
      </c>
      <c r="AE22" s="260">
        <v>28.120372999999997</v>
      </c>
      <c r="AF22" s="260">
        <v>28.134525</v>
      </c>
      <c r="AG22" s="260">
        <v>28.148591999999997</v>
      </c>
      <c r="AH22" s="260">
        <v>28.162575</v>
      </c>
      <c r="AI22" s="260">
        <v>28.176472999999998</v>
      </c>
      <c r="AJ22" s="260">
        <v>28.190286999999998</v>
      </c>
      <c r="AK22" s="260">
        <v>28.204015999999999</v>
      </c>
      <c r="AL22" s="260">
        <v>28.217662999999998</v>
      </c>
      <c r="AM22" s="260">
        <v>28.231225999999999</v>
      </c>
      <c r="AN22" s="260">
        <v>28.244705999999997</v>
      </c>
      <c r="AO22" s="260">
        <v>28.258102999999998</v>
      </c>
      <c r="AP22" s="260">
        <v>28.271418999999998</v>
      </c>
      <c r="AQ22" s="260">
        <v>28.284651999999998</v>
      </c>
      <c r="AR22" s="260">
        <v>28.297802999999998</v>
      </c>
      <c r="AS22" s="260">
        <v>28.310872999999997</v>
      </c>
      <c r="AT22" s="260">
        <v>28.323861999999998</v>
      </c>
      <c r="AU22" s="260">
        <v>28.336769999999998</v>
      </c>
      <c r="AV22" s="260">
        <v>28.349598</v>
      </c>
      <c r="AW22" s="260">
        <v>28.362345999999999</v>
      </c>
      <c r="AX22" s="260">
        <v>28.375014</v>
      </c>
      <c r="AY22" s="260">
        <v>28.387602999999999</v>
      </c>
      <c r="AZ22" s="260">
        <v>28.400112</v>
      </c>
      <c r="BA22" s="260">
        <v>28.412541999999998</v>
      </c>
      <c r="BB22" s="260">
        <v>28.424894999999999</v>
      </c>
      <c r="BC22" s="260">
        <v>28.437168999999997</v>
      </c>
      <c r="BD22" s="260">
        <v>28.449365</v>
      </c>
      <c r="BE22" s="260">
        <v>28.461482999999998</v>
      </c>
      <c r="BF22" s="260">
        <v>28.473524999999999</v>
      </c>
      <c r="BG22" s="260">
        <v>28.485488999999998</v>
      </c>
      <c r="BH22" s="260">
        <v>28.497377999999998</v>
      </c>
      <c r="BI22" s="260">
        <v>28.50919</v>
      </c>
      <c r="BJ22" s="260">
        <v>28.520925999999999</v>
      </c>
      <c r="BK22" s="260">
        <v>28.532585999999998</v>
      </c>
      <c r="BL22" s="260">
        <v>28.544172</v>
      </c>
      <c r="BM22" s="260">
        <v>28.555682999999998</v>
      </c>
      <c r="BN22" s="260">
        <v>28.567118999999998</v>
      </c>
      <c r="BO22" s="260">
        <v>28.578481</v>
      </c>
      <c r="BP22" s="260">
        <v>28.589769</v>
      </c>
      <c r="BQ22" s="260">
        <v>28.600984</v>
      </c>
      <c r="BR22" s="260">
        <v>28.612126</v>
      </c>
      <c r="BS22" s="260">
        <v>28.623193999999998</v>
      </c>
      <c r="BT22" s="260">
        <v>28.634190999999998</v>
      </c>
      <c r="BU22" s="260">
        <v>28.645114999999997</v>
      </c>
      <c r="BV22" s="260">
        <v>28.655967999999998</v>
      </c>
      <c r="BW22" s="260">
        <v>28.666748999999999</v>
      </c>
      <c r="BX22" s="260">
        <v>28.677458999999999</v>
      </c>
      <c r="BY22" s="260">
        <v>28.688098</v>
      </c>
      <c r="BZ22" s="260">
        <v>28.698667</v>
      </c>
      <c r="CA22" s="260">
        <v>28.709166</v>
      </c>
      <c r="CB22" s="260">
        <v>28.719594999999998</v>
      </c>
      <c r="CC22" s="260">
        <v>28.729955</v>
      </c>
      <c r="CD22" s="260">
        <v>28.740244999999998</v>
      </c>
      <c r="CE22" s="260">
        <v>28.750467</v>
      </c>
      <c r="CF22" s="260">
        <v>28.760621</v>
      </c>
      <c r="CG22" s="260">
        <v>28.770706999999998</v>
      </c>
      <c r="CH22" s="260">
        <v>28.780725</v>
      </c>
    </row>
    <row r="23" spans="1:86" x14ac:dyDescent="0.25">
      <c r="A23" s="170">
        <v>1</v>
      </c>
      <c r="B23" s="170">
        <v>22</v>
      </c>
      <c r="C23" s="259">
        <v>27.881061553955078</v>
      </c>
      <c r="D23" s="259">
        <v>27.905380249023438</v>
      </c>
      <c r="E23" s="259">
        <v>27.929277420043945</v>
      </c>
      <c r="F23" s="259">
        <v>27.952760696411133</v>
      </c>
      <c r="G23" s="259">
        <v>27.975837707519531</v>
      </c>
      <c r="H23" s="259">
        <v>27.998517990112305</v>
      </c>
      <c r="I23" s="260">
        <v>27.637180999999998</v>
      </c>
      <c r="J23" s="260">
        <v>27.654339</v>
      </c>
      <c r="K23" s="260">
        <v>27.671270999999997</v>
      </c>
      <c r="L23" s="260">
        <v>27.687994</v>
      </c>
      <c r="M23" s="260">
        <v>27.704522999999998</v>
      </c>
      <c r="N23" s="260">
        <v>27.720874999999999</v>
      </c>
      <c r="O23" s="260">
        <v>27.737064999999998</v>
      </c>
      <c r="P23" s="260">
        <v>27.753107999999997</v>
      </c>
      <c r="Q23" s="260">
        <v>27.769017999999999</v>
      </c>
      <c r="R23" s="260">
        <v>27.784806</v>
      </c>
      <c r="S23" s="260">
        <v>27.800483999999997</v>
      </c>
      <c r="T23" s="260">
        <v>27.81606</v>
      </c>
      <c r="U23" s="260">
        <v>27.831540999999998</v>
      </c>
      <c r="V23" s="260">
        <v>27.846930999999998</v>
      </c>
      <c r="W23" s="260">
        <v>27.862230999999998</v>
      </c>
      <c r="X23" s="260">
        <v>27.877443</v>
      </c>
      <c r="Y23" s="260">
        <v>27.892564999999998</v>
      </c>
      <c r="Z23" s="260">
        <v>27.907599999999999</v>
      </c>
      <c r="AA23" s="260">
        <v>27.922545</v>
      </c>
      <c r="AB23" s="260">
        <v>27.937403</v>
      </c>
      <c r="AC23" s="260">
        <v>27.952173999999999</v>
      </c>
      <c r="AD23" s="260">
        <v>27.966856</v>
      </c>
      <c r="AE23" s="260">
        <v>27.981451999999997</v>
      </c>
      <c r="AF23" s="260">
        <v>27.995960999999998</v>
      </c>
      <c r="AG23" s="260">
        <v>28.010383999999998</v>
      </c>
      <c r="AH23" s="260">
        <v>28.024719999999999</v>
      </c>
      <c r="AI23" s="260">
        <v>28.038971</v>
      </c>
      <c r="AJ23" s="260">
        <v>28.053135999999999</v>
      </c>
      <c r="AK23" s="260">
        <v>28.067214999999997</v>
      </c>
      <c r="AL23" s="260">
        <v>28.081209999999999</v>
      </c>
      <c r="AM23" s="260">
        <v>28.095119999999998</v>
      </c>
      <c r="AN23" s="260">
        <v>28.108944999999999</v>
      </c>
      <c r="AO23" s="260">
        <v>28.122686999999999</v>
      </c>
      <c r="AP23" s="260">
        <v>28.136344999999999</v>
      </c>
      <c r="AQ23" s="260">
        <v>28.149918999999997</v>
      </c>
      <c r="AR23" s="260">
        <v>28.163409999999999</v>
      </c>
      <c r="AS23" s="260">
        <v>28.176817999999997</v>
      </c>
      <c r="AT23" s="260">
        <v>28.190144</v>
      </c>
      <c r="AU23" s="260">
        <v>28.203388</v>
      </c>
      <c r="AV23" s="260">
        <v>28.216549999999998</v>
      </c>
      <c r="AW23" s="260">
        <v>28.22963</v>
      </c>
      <c r="AX23" s="260">
        <v>28.242628999999997</v>
      </c>
      <c r="AY23" s="260">
        <v>28.255547</v>
      </c>
      <c r="AZ23" s="260">
        <v>28.268383999999998</v>
      </c>
      <c r="BA23" s="260">
        <v>28.281140999999998</v>
      </c>
      <c r="BB23" s="260">
        <v>28.293818999999999</v>
      </c>
      <c r="BC23" s="260">
        <v>28.306415999999999</v>
      </c>
      <c r="BD23" s="260">
        <v>28.318935</v>
      </c>
      <c r="BE23" s="260">
        <v>28.331374</v>
      </c>
      <c r="BF23" s="260">
        <v>28.343734999999999</v>
      </c>
      <c r="BG23" s="260">
        <v>28.356016999999998</v>
      </c>
      <c r="BH23" s="260">
        <v>28.368221999999999</v>
      </c>
      <c r="BI23" s="260">
        <v>28.380347999999998</v>
      </c>
      <c r="BJ23" s="260">
        <v>28.392398</v>
      </c>
      <c r="BK23" s="260">
        <v>28.40437</v>
      </c>
      <c r="BL23" s="260">
        <v>28.416266</v>
      </c>
      <c r="BM23" s="260">
        <v>28.428086</v>
      </c>
      <c r="BN23" s="260">
        <v>28.439829</v>
      </c>
      <c r="BO23" s="260">
        <v>28.451497</v>
      </c>
      <c r="BP23" s="260">
        <v>28.463089999999998</v>
      </c>
      <c r="BQ23" s="260">
        <v>28.474606999999999</v>
      </c>
      <c r="BR23" s="260">
        <v>28.486049999999999</v>
      </c>
      <c r="BS23" s="260">
        <v>28.497418999999997</v>
      </c>
      <c r="BT23" s="260">
        <v>28.508713999999998</v>
      </c>
      <c r="BU23" s="260">
        <v>28.519935</v>
      </c>
      <c r="BV23" s="260">
        <v>28.531082999999999</v>
      </c>
      <c r="BW23" s="260">
        <v>28.542157999999997</v>
      </c>
      <c r="BX23" s="260">
        <v>28.553160999999999</v>
      </c>
      <c r="BY23" s="260">
        <v>28.564090999999998</v>
      </c>
      <c r="BZ23" s="260">
        <v>28.574949</v>
      </c>
      <c r="CA23" s="260">
        <v>28.585735999999997</v>
      </c>
      <c r="CB23" s="260">
        <v>28.596451999999999</v>
      </c>
      <c r="CC23" s="260">
        <v>28.607097</v>
      </c>
      <c r="CD23" s="260">
        <v>28.617670999999998</v>
      </c>
      <c r="CE23" s="260">
        <v>28.628174999999999</v>
      </c>
      <c r="CF23" s="260">
        <v>28.638608999999999</v>
      </c>
      <c r="CG23" s="260">
        <v>28.648973999999999</v>
      </c>
      <c r="CH23" s="260">
        <v>28.659269999999999</v>
      </c>
    </row>
    <row r="24" spans="1:86" x14ac:dyDescent="0.25">
      <c r="A24" s="170">
        <v>1</v>
      </c>
      <c r="B24" s="170">
        <v>23</v>
      </c>
      <c r="C24" s="259">
        <v>27.725641250610352</v>
      </c>
      <c r="D24" s="259">
        <v>27.750766754150391</v>
      </c>
      <c r="E24" s="259">
        <v>27.775455474853516</v>
      </c>
      <c r="F24" s="259">
        <v>27.799716949462891</v>
      </c>
      <c r="G24" s="259">
        <v>27.82356071472168</v>
      </c>
      <c r="H24" s="259">
        <v>27.846990585327148</v>
      </c>
      <c r="I24" s="260">
        <v>27.485695999999997</v>
      </c>
      <c r="J24" s="260">
        <v>27.503252</v>
      </c>
      <c r="K24" s="260">
        <v>27.520579999999999</v>
      </c>
      <c r="L24" s="260">
        <v>27.537696999999998</v>
      </c>
      <c r="M24" s="260">
        <v>27.554618999999999</v>
      </c>
      <c r="N24" s="260">
        <v>27.571361</v>
      </c>
      <c r="O24" s="260">
        <v>27.58794</v>
      </c>
      <c r="P24" s="260">
        <v>27.604369999999999</v>
      </c>
      <c r="Q24" s="260">
        <v>27.620664999999999</v>
      </c>
      <c r="R24" s="260">
        <v>27.636837</v>
      </c>
      <c r="S24" s="260">
        <v>27.652896999999999</v>
      </c>
      <c r="T24" s="260">
        <v>27.668854</v>
      </c>
      <c r="U24" s="260">
        <v>27.684714999999997</v>
      </c>
      <c r="V24" s="260">
        <v>27.700482999999998</v>
      </c>
      <c r="W24" s="260">
        <v>27.716159999999999</v>
      </c>
      <c r="X24" s="260">
        <v>27.731746999999999</v>
      </c>
      <c r="Y24" s="260">
        <v>27.747243999999998</v>
      </c>
      <c r="Z24" s="260">
        <v>27.762650999999998</v>
      </c>
      <c r="AA24" s="260">
        <v>27.777967999999998</v>
      </c>
      <c r="AB24" s="260">
        <v>27.793195999999998</v>
      </c>
      <c r="AC24" s="260">
        <v>27.808335</v>
      </c>
      <c r="AD24" s="260">
        <v>27.823385999999999</v>
      </c>
      <c r="AE24" s="260">
        <v>27.838346999999999</v>
      </c>
      <c r="AF24" s="260">
        <v>27.853220999999998</v>
      </c>
      <c r="AG24" s="260">
        <v>27.868006999999999</v>
      </c>
      <c r="AH24" s="260">
        <v>27.882704999999998</v>
      </c>
      <c r="AI24" s="260">
        <v>27.897316</v>
      </c>
      <c r="AJ24" s="260">
        <v>27.911839999999998</v>
      </c>
      <c r="AK24" s="260">
        <v>27.926278</v>
      </c>
      <c r="AL24" s="260">
        <v>27.940628999999998</v>
      </c>
      <c r="AM24" s="260">
        <v>27.954892999999998</v>
      </c>
      <c r="AN24" s="260">
        <v>27.969071999999997</v>
      </c>
      <c r="AO24" s="260">
        <v>27.983165999999997</v>
      </c>
      <c r="AP24" s="260">
        <v>27.997173999999998</v>
      </c>
      <c r="AQ24" s="260">
        <v>28.011098</v>
      </c>
      <c r="AR24" s="260">
        <v>28.024936</v>
      </c>
      <c r="AS24" s="260">
        <v>28.038691</v>
      </c>
      <c r="AT24" s="260">
        <v>28.052361999999999</v>
      </c>
      <c r="AU24" s="260">
        <v>28.065949</v>
      </c>
      <c r="AV24" s="260">
        <v>28.079452</v>
      </c>
      <c r="AW24" s="260">
        <v>28.092872999999997</v>
      </c>
      <c r="AX24" s="260">
        <v>28.106210999999998</v>
      </c>
      <c r="AY24" s="260">
        <v>28.119465999999999</v>
      </c>
      <c r="AZ24" s="260">
        <v>28.132639999999999</v>
      </c>
      <c r="BA24" s="260">
        <v>28.145730999999998</v>
      </c>
      <c r="BB24" s="260">
        <v>28.158740999999999</v>
      </c>
      <c r="BC24" s="260">
        <v>28.171671</v>
      </c>
      <c r="BD24" s="260">
        <v>28.184518999999998</v>
      </c>
      <c r="BE24" s="260">
        <v>28.197286999999999</v>
      </c>
      <c r="BF24" s="260">
        <v>28.209975</v>
      </c>
      <c r="BG24" s="260">
        <v>28.222583</v>
      </c>
      <c r="BH24" s="260">
        <v>28.235111</v>
      </c>
      <c r="BI24" s="260">
        <v>28.24756</v>
      </c>
      <c r="BJ24" s="260">
        <v>28.259930999999998</v>
      </c>
      <c r="BK24" s="260">
        <v>28.272223</v>
      </c>
      <c r="BL24" s="260">
        <v>28.284437</v>
      </c>
      <c r="BM24" s="260">
        <v>28.296572999999999</v>
      </c>
      <c r="BN24" s="260">
        <v>28.308631999999999</v>
      </c>
      <c r="BO24" s="260">
        <v>28.320612999999998</v>
      </c>
      <c r="BP24" s="260">
        <v>28.332518</v>
      </c>
      <c r="BQ24" s="260">
        <v>28.344345999999998</v>
      </c>
      <c r="BR24" s="260">
        <v>28.356097999999999</v>
      </c>
      <c r="BS24" s="260">
        <v>28.367773999999997</v>
      </c>
      <c r="BT24" s="260">
        <v>28.379375</v>
      </c>
      <c r="BU24" s="260">
        <v>28.390900999999999</v>
      </c>
      <c r="BV24" s="260">
        <v>28.402352</v>
      </c>
      <c r="BW24" s="260">
        <v>28.413727999999999</v>
      </c>
      <c r="BX24" s="260">
        <v>28.425030999999997</v>
      </c>
      <c r="BY24" s="260">
        <v>28.436259999999997</v>
      </c>
      <c r="BZ24" s="260">
        <v>28.447414999999999</v>
      </c>
      <c r="CA24" s="260">
        <v>28.458496999999998</v>
      </c>
      <c r="CB24" s="260">
        <v>28.469507</v>
      </c>
      <c r="CC24" s="260">
        <v>28.480443999999999</v>
      </c>
      <c r="CD24" s="260">
        <v>28.491308999999998</v>
      </c>
      <c r="CE24" s="260">
        <v>28.502102999999998</v>
      </c>
      <c r="CF24" s="260">
        <v>28.512824999999999</v>
      </c>
      <c r="CG24" s="260">
        <v>28.523475999999999</v>
      </c>
      <c r="CH24" s="260">
        <v>28.534056999999997</v>
      </c>
    </row>
    <row r="25" spans="1:86" x14ac:dyDescent="0.25">
      <c r="A25" s="170">
        <v>1</v>
      </c>
      <c r="B25" s="170">
        <v>24</v>
      </c>
      <c r="C25" s="259">
        <v>27.565065383911133</v>
      </c>
      <c r="D25" s="259">
        <v>27.591026306152344</v>
      </c>
      <c r="E25" s="259">
        <v>27.616537094116211</v>
      </c>
      <c r="F25" s="259">
        <v>27.641607284545898</v>
      </c>
      <c r="G25" s="259">
        <v>27.666242599487305</v>
      </c>
      <c r="H25" s="259">
        <v>27.690452575683594</v>
      </c>
      <c r="I25" s="260">
        <v>27.329594</v>
      </c>
      <c r="J25" s="260">
        <v>27.347555</v>
      </c>
      <c r="K25" s="260">
        <v>27.365286999999999</v>
      </c>
      <c r="L25" s="260">
        <v>27.382807</v>
      </c>
      <c r="M25" s="260">
        <v>27.400129999999997</v>
      </c>
      <c r="N25" s="260">
        <v>27.417272000000001</v>
      </c>
      <c r="O25" s="260">
        <v>27.434248</v>
      </c>
      <c r="P25" s="260">
        <v>27.451074999999999</v>
      </c>
      <c r="Q25" s="260">
        <v>27.467763999999999</v>
      </c>
      <c r="R25" s="260">
        <v>27.484328999999999</v>
      </c>
      <c r="S25" s="260">
        <v>27.500781</v>
      </c>
      <c r="T25" s="260">
        <v>27.517128</v>
      </c>
      <c r="U25" s="260">
        <v>27.533376999999998</v>
      </c>
      <c r="V25" s="260">
        <v>27.549533</v>
      </c>
      <c r="W25" s="260">
        <v>27.565595999999999</v>
      </c>
      <c r="X25" s="260">
        <v>27.581567999999997</v>
      </c>
      <c r="Y25" s="260">
        <v>27.597448</v>
      </c>
      <c r="Z25" s="260">
        <v>27.613236999999998</v>
      </c>
      <c r="AA25" s="260">
        <v>27.628934999999998</v>
      </c>
      <c r="AB25" s="260">
        <v>27.644542999999999</v>
      </c>
      <c r="AC25" s="260">
        <v>27.660059999999998</v>
      </c>
      <c r="AD25" s="260">
        <v>27.675487</v>
      </c>
      <c r="AE25" s="260">
        <v>27.690823999999999</v>
      </c>
      <c r="AF25" s="260">
        <v>27.706071999999999</v>
      </c>
      <c r="AG25" s="260">
        <v>27.721229999999998</v>
      </c>
      <c r="AH25" s="260">
        <v>27.736298999999999</v>
      </c>
      <c r="AI25" s="260">
        <v>27.751279999999998</v>
      </c>
      <c r="AJ25" s="260">
        <v>27.766171999999997</v>
      </c>
      <c r="AK25" s="260">
        <v>27.780975999999999</v>
      </c>
      <c r="AL25" s="260">
        <v>27.795693</v>
      </c>
      <c r="AM25" s="260">
        <v>27.810320999999998</v>
      </c>
      <c r="AN25" s="260">
        <v>27.824862999999997</v>
      </c>
      <c r="AO25" s="260">
        <v>27.839317999999999</v>
      </c>
      <c r="AP25" s="260">
        <v>27.853686</v>
      </c>
      <c r="AQ25" s="260">
        <v>27.867967</v>
      </c>
      <c r="AR25" s="260">
        <v>27.882162999999998</v>
      </c>
      <c r="AS25" s="260">
        <v>27.896272999999997</v>
      </c>
      <c r="AT25" s="260">
        <v>27.910297</v>
      </c>
      <c r="AU25" s="260">
        <v>27.924236000000001</v>
      </c>
      <c r="AV25" s="260">
        <v>27.938091</v>
      </c>
      <c r="AW25" s="260">
        <v>27.951860999999997</v>
      </c>
      <c r="AX25" s="260">
        <v>27.965546</v>
      </c>
      <c r="AY25" s="260">
        <v>27.979147999999999</v>
      </c>
      <c r="AZ25" s="260">
        <v>27.992666999999997</v>
      </c>
      <c r="BA25" s="260">
        <v>28.006101999999998</v>
      </c>
      <c r="BB25" s="260">
        <v>28.019454</v>
      </c>
      <c r="BC25" s="260">
        <v>28.032722999999997</v>
      </c>
      <c r="BD25" s="260">
        <v>28.045911</v>
      </c>
      <c r="BE25" s="260">
        <v>28.059016</v>
      </c>
      <c r="BF25" s="260">
        <v>28.072039</v>
      </c>
      <c r="BG25" s="260">
        <v>28.084982</v>
      </c>
      <c r="BH25" s="260">
        <v>28.097842999999997</v>
      </c>
      <c r="BI25" s="260">
        <v>28.110623999999998</v>
      </c>
      <c r="BJ25" s="260">
        <v>28.123324</v>
      </c>
      <c r="BK25" s="260">
        <v>28.135943999999999</v>
      </c>
      <c r="BL25" s="260">
        <v>28.148484999999997</v>
      </c>
      <c r="BM25" s="260">
        <v>28.160945999999999</v>
      </c>
      <c r="BN25" s="260">
        <v>28.173328999999999</v>
      </c>
      <c r="BO25" s="260">
        <v>28.185631999999998</v>
      </c>
      <c r="BP25" s="260">
        <v>28.197858</v>
      </c>
      <c r="BQ25" s="260">
        <v>28.210004999999999</v>
      </c>
      <c r="BR25" s="260">
        <v>28.222075</v>
      </c>
      <c r="BS25" s="260">
        <v>28.234067</v>
      </c>
      <c r="BT25" s="260">
        <v>28.245981999999998</v>
      </c>
      <c r="BU25" s="260">
        <v>28.257821</v>
      </c>
      <c r="BV25" s="260">
        <v>28.269582999999997</v>
      </c>
      <c r="BW25" s="260">
        <v>28.281269999999999</v>
      </c>
      <c r="BX25" s="260">
        <v>28.292880999999998</v>
      </c>
      <c r="BY25" s="260">
        <v>28.304416</v>
      </c>
      <c r="BZ25" s="260">
        <v>28.315877</v>
      </c>
      <c r="CA25" s="260">
        <v>28.327262999999999</v>
      </c>
      <c r="CB25" s="260">
        <v>28.338574999999999</v>
      </c>
      <c r="CC25" s="260">
        <v>28.349812999999997</v>
      </c>
      <c r="CD25" s="260">
        <v>28.360976999999998</v>
      </c>
      <c r="CE25" s="260">
        <v>28.372067999999999</v>
      </c>
      <c r="CF25" s="260">
        <v>28.383085999999999</v>
      </c>
      <c r="CG25" s="260">
        <v>28.394031999999999</v>
      </c>
      <c r="CH25" s="260">
        <v>28.404906</v>
      </c>
    </row>
    <row r="26" spans="1:86" x14ac:dyDescent="0.25">
      <c r="A26" s="170">
        <v>1</v>
      </c>
      <c r="B26" s="170">
        <v>25</v>
      </c>
      <c r="C26" s="259">
        <v>27.398782730102539</v>
      </c>
      <c r="D26" s="259">
        <v>27.425622940063477</v>
      </c>
      <c r="E26" s="259">
        <v>27.451993942260742</v>
      </c>
      <c r="F26" s="259">
        <v>27.477907180786133</v>
      </c>
      <c r="G26" s="259">
        <v>27.503372192382813</v>
      </c>
      <c r="H26" s="259">
        <v>27.528398513793945</v>
      </c>
      <c r="I26" s="260">
        <v>27.168547</v>
      </c>
      <c r="J26" s="260">
        <v>27.186923</v>
      </c>
      <c r="K26" s="260">
        <v>27.205069999999999</v>
      </c>
      <c r="L26" s="260">
        <v>27.223004</v>
      </c>
      <c r="M26" s="260">
        <v>27.240738999999998</v>
      </c>
      <c r="N26" s="260">
        <v>27.258291</v>
      </c>
      <c r="O26" s="260">
        <v>27.275676999999998</v>
      </c>
      <c r="P26" s="260">
        <v>27.292911</v>
      </c>
      <c r="Q26" s="260">
        <v>27.310005999999998</v>
      </c>
      <c r="R26" s="260">
        <v>27.326974999999997</v>
      </c>
      <c r="S26" s="260">
        <v>27.343828999999999</v>
      </c>
      <c r="T26" s="260">
        <v>27.360578</v>
      </c>
      <c r="U26" s="260">
        <v>27.377226</v>
      </c>
      <c r="V26" s="260">
        <v>27.39378</v>
      </c>
      <c r="W26" s="260">
        <v>27.410240999999999</v>
      </c>
      <c r="X26" s="260">
        <v>27.426607999999998</v>
      </c>
      <c r="Y26" s="260">
        <v>27.442882999999998</v>
      </c>
      <c r="Z26" s="260">
        <v>27.459064999999999</v>
      </c>
      <c r="AA26" s="260">
        <v>27.475154999999997</v>
      </c>
      <c r="AB26" s="260">
        <v>27.491152999999997</v>
      </c>
      <c r="AC26" s="260">
        <v>27.507058999999998</v>
      </c>
      <c r="AD26" s="260">
        <v>27.522872999999997</v>
      </c>
      <c r="AE26" s="260">
        <v>27.538595999999998</v>
      </c>
      <c r="AF26" s="260">
        <v>27.554228999999999</v>
      </c>
      <c r="AG26" s="260">
        <v>27.569769999999998</v>
      </c>
      <c r="AH26" s="260">
        <v>27.585220999999997</v>
      </c>
      <c r="AI26" s="260">
        <v>27.600583</v>
      </c>
      <c r="AJ26" s="260">
        <v>27.615853999999999</v>
      </c>
      <c r="AK26" s="260">
        <v>27.631034999999997</v>
      </c>
      <c r="AL26" s="260">
        <v>27.646127999999997</v>
      </c>
      <c r="AM26" s="260">
        <v>27.661130999999997</v>
      </c>
      <c r="AN26" s="260">
        <v>27.676045999999999</v>
      </c>
      <c r="AO26" s="260">
        <v>27.690871999999999</v>
      </c>
      <c r="AP26" s="260">
        <v>27.705610999999998</v>
      </c>
      <c r="AQ26" s="260">
        <v>27.720260999999997</v>
      </c>
      <c r="AR26" s="260">
        <v>27.734824</v>
      </c>
      <c r="AS26" s="260">
        <v>27.749298999999997</v>
      </c>
      <c r="AT26" s="260">
        <v>27.763687999999998</v>
      </c>
      <c r="AU26" s="260">
        <v>27.777989999999999</v>
      </c>
      <c r="AV26" s="260">
        <v>27.792206</v>
      </c>
      <c r="AW26" s="260">
        <v>27.806335999999998</v>
      </c>
      <c r="AX26" s="260">
        <v>27.82038</v>
      </c>
      <c r="AY26" s="260">
        <v>27.834337999999999</v>
      </c>
      <c r="AZ26" s="260">
        <v>27.848212</v>
      </c>
      <c r="BA26" s="260">
        <v>27.862000999999999</v>
      </c>
      <c r="BB26" s="260">
        <v>27.875705</v>
      </c>
      <c r="BC26" s="260">
        <v>27.889324999999999</v>
      </c>
      <c r="BD26" s="260">
        <v>27.902860999999998</v>
      </c>
      <c r="BE26" s="260">
        <v>27.916314</v>
      </c>
      <c r="BF26" s="260">
        <v>27.929683999999998</v>
      </c>
      <c r="BG26" s="260">
        <v>27.942971</v>
      </c>
      <c r="BH26" s="260">
        <v>27.956174999999998</v>
      </c>
      <c r="BI26" s="260">
        <v>27.969296999999997</v>
      </c>
      <c r="BJ26" s="260">
        <v>27.982336999999998</v>
      </c>
      <c r="BK26" s="260">
        <v>27.995296</v>
      </c>
      <c r="BL26" s="260">
        <v>28.008172999999999</v>
      </c>
      <c r="BM26" s="260">
        <v>28.020968999999997</v>
      </c>
      <c r="BN26" s="260">
        <v>28.033684999999998</v>
      </c>
      <c r="BO26" s="260">
        <v>28.046320999999999</v>
      </c>
      <c r="BP26" s="260">
        <v>28.058876999999999</v>
      </c>
      <c r="BQ26" s="260">
        <v>28.071352999999998</v>
      </c>
      <c r="BR26" s="260">
        <v>28.083749999999998</v>
      </c>
      <c r="BS26" s="260">
        <v>28.096067999999999</v>
      </c>
      <c r="BT26" s="260">
        <v>28.108307</v>
      </c>
      <c r="BU26" s="260">
        <v>28.120469</v>
      </c>
      <c r="BV26" s="260">
        <v>28.132552</v>
      </c>
      <c r="BW26" s="260">
        <v>28.144558</v>
      </c>
      <c r="BX26" s="260">
        <v>28.156486999999998</v>
      </c>
      <c r="BY26" s="260">
        <v>28.168339</v>
      </c>
      <c r="BZ26" s="260">
        <v>28.180114</v>
      </c>
      <c r="CA26" s="260">
        <v>28.191813</v>
      </c>
      <c r="CB26" s="260">
        <v>28.203436999999997</v>
      </c>
      <c r="CC26" s="260">
        <v>28.214984999999999</v>
      </c>
      <c r="CD26" s="260">
        <v>28.226457999999997</v>
      </c>
      <c r="CE26" s="260">
        <v>28.237855999999997</v>
      </c>
      <c r="CF26" s="260">
        <v>28.249179999999999</v>
      </c>
      <c r="CG26" s="260">
        <v>28.260428999999998</v>
      </c>
      <c r="CH26" s="260">
        <v>28.271604999999997</v>
      </c>
    </row>
    <row r="27" spans="1:86" x14ac:dyDescent="0.25">
      <c r="A27" s="170">
        <v>1</v>
      </c>
      <c r="B27" s="170">
        <v>26</v>
      </c>
      <c r="C27" s="259">
        <v>27.226091384887695</v>
      </c>
      <c r="D27" s="259">
        <v>27.253799438476563</v>
      </c>
      <c r="E27" s="259">
        <v>27.281024932861328</v>
      </c>
      <c r="F27" s="259">
        <v>27.307779312133789</v>
      </c>
      <c r="G27" s="259">
        <v>27.334070205688477</v>
      </c>
      <c r="H27" s="259">
        <v>27.359909057617188</v>
      </c>
      <c r="I27" s="260">
        <v>27.002514999999999</v>
      </c>
      <c r="J27" s="260">
        <v>27.021314999999998</v>
      </c>
      <c r="K27" s="260">
        <v>27.039885999999999</v>
      </c>
      <c r="L27" s="260">
        <v>27.058242</v>
      </c>
      <c r="M27" s="260">
        <v>27.076397999999998</v>
      </c>
      <c r="N27" s="260">
        <v>27.094372</v>
      </c>
      <c r="O27" s="260">
        <v>27.112176999999999</v>
      </c>
      <c r="P27" s="260">
        <v>27.129828</v>
      </c>
      <c r="Q27" s="260">
        <v>27.147338999999999</v>
      </c>
      <c r="R27" s="260">
        <v>27.164722999999999</v>
      </c>
      <c r="S27" s="260">
        <v>27.181989999999999</v>
      </c>
      <c r="T27" s="260">
        <v>27.199149999999999</v>
      </c>
      <c r="U27" s="260">
        <v>27.216208999999999</v>
      </c>
      <c r="V27" s="260">
        <v>27.233172</v>
      </c>
      <c r="W27" s="260">
        <v>27.250039999999998</v>
      </c>
      <c r="X27" s="260">
        <v>27.266812999999999</v>
      </c>
      <c r="Y27" s="260">
        <v>27.283493</v>
      </c>
      <c r="Z27" s="260">
        <v>27.300077999999999</v>
      </c>
      <c r="AA27" s="260">
        <v>27.316569999999999</v>
      </c>
      <c r="AB27" s="260">
        <v>27.332967999999997</v>
      </c>
      <c r="AC27" s="260">
        <v>27.349273</v>
      </c>
      <c r="AD27" s="260">
        <v>27.365485999999997</v>
      </c>
      <c r="AE27" s="260">
        <v>27.381605</v>
      </c>
      <c r="AF27" s="260">
        <v>27.397632999999999</v>
      </c>
      <c r="AG27" s="260">
        <v>27.413567999999998</v>
      </c>
      <c r="AH27" s="260">
        <v>27.429410999999998</v>
      </c>
      <c r="AI27" s="260">
        <v>27.445162999999997</v>
      </c>
      <c r="AJ27" s="260">
        <v>27.460822999999998</v>
      </c>
      <c r="AK27" s="260">
        <v>27.476392999999998</v>
      </c>
      <c r="AL27" s="260">
        <v>27.491871</v>
      </c>
      <c r="AM27" s="260">
        <v>27.507259999999999</v>
      </c>
      <c r="AN27" s="260">
        <v>27.522558</v>
      </c>
      <c r="AO27" s="260">
        <v>27.537765999999998</v>
      </c>
      <c r="AP27" s="260">
        <v>27.552883999999999</v>
      </c>
      <c r="AQ27" s="260">
        <v>27.567913999999998</v>
      </c>
      <c r="AR27" s="260">
        <v>27.582853999999998</v>
      </c>
      <c r="AS27" s="260">
        <v>27.597704999999998</v>
      </c>
      <c r="AT27" s="260">
        <v>27.612468</v>
      </c>
      <c r="AU27" s="260">
        <v>27.627143</v>
      </c>
      <c r="AV27" s="260">
        <v>27.641729999999999</v>
      </c>
      <c r="AW27" s="260">
        <v>27.656229999999997</v>
      </c>
      <c r="AX27" s="260">
        <v>27.670641999999997</v>
      </c>
      <c r="AY27" s="260">
        <v>27.684967</v>
      </c>
      <c r="AZ27" s="260">
        <v>27.699206</v>
      </c>
      <c r="BA27" s="260">
        <v>27.713357999999999</v>
      </c>
      <c r="BB27" s="260">
        <v>27.727423999999999</v>
      </c>
      <c r="BC27" s="260">
        <v>27.741405</v>
      </c>
      <c r="BD27" s="260">
        <v>27.755299999999998</v>
      </c>
      <c r="BE27" s="260">
        <v>27.769110999999999</v>
      </c>
      <c r="BF27" s="260">
        <v>27.782836</v>
      </c>
      <c r="BG27" s="260">
        <v>27.796476999999999</v>
      </c>
      <c r="BH27" s="260">
        <v>27.810033999999998</v>
      </c>
      <c r="BI27" s="260">
        <v>27.823506999999999</v>
      </c>
      <c r="BJ27" s="260">
        <v>27.836897</v>
      </c>
      <c r="BK27" s="260">
        <v>27.850203</v>
      </c>
      <c r="BL27" s="260">
        <v>27.863426999999998</v>
      </c>
      <c r="BM27" s="260">
        <v>27.876567999999999</v>
      </c>
      <c r="BN27" s="260">
        <v>27.889626999999997</v>
      </c>
      <c r="BO27" s="260">
        <v>27.902604</v>
      </c>
      <c r="BP27" s="260">
        <v>27.915499999999998</v>
      </c>
      <c r="BQ27" s="260">
        <v>27.928314</v>
      </c>
      <c r="BR27" s="260">
        <v>27.941047999999999</v>
      </c>
      <c r="BS27" s="260">
        <v>27.953700999999999</v>
      </c>
      <c r="BT27" s="260">
        <v>27.966273999999999</v>
      </c>
      <c r="BU27" s="260">
        <v>27.978767999999999</v>
      </c>
      <c r="BV27" s="260">
        <v>27.991181999999998</v>
      </c>
      <c r="BW27" s="260">
        <v>28.003515999999998</v>
      </c>
      <c r="BX27" s="260">
        <v>28.015771999999998</v>
      </c>
      <c r="BY27" s="260">
        <v>28.027949999999997</v>
      </c>
      <c r="BZ27" s="260">
        <v>28.040049</v>
      </c>
      <c r="CA27" s="260">
        <v>28.052070999999998</v>
      </c>
      <c r="CB27" s="260">
        <v>28.064014999999998</v>
      </c>
      <c r="CC27" s="260">
        <v>28.075882</v>
      </c>
      <c r="CD27" s="260">
        <v>28.087672999999999</v>
      </c>
      <c r="CE27" s="260">
        <v>28.099387</v>
      </c>
      <c r="CF27" s="260">
        <v>28.111024999999998</v>
      </c>
      <c r="CG27" s="260">
        <v>28.122586999999999</v>
      </c>
      <c r="CH27" s="260">
        <v>28.134073999999998</v>
      </c>
    </row>
    <row r="28" spans="1:86" x14ac:dyDescent="0.25">
      <c r="A28" s="170">
        <v>1</v>
      </c>
      <c r="B28" s="170">
        <v>27</v>
      </c>
      <c r="C28" s="259">
        <v>27.047220230102539</v>
      </c>
      <c r="D28" s="259">
        <v>27.075836181640625</v>
      </c>
      <c r="E28" s="259">
        <v>27.10395622253418</v>
      </c>
      <c r="F28" s="259">
        <v>27.131589889526367</v>
      </c>
      <c r="G28" s="259">
        <v>27.158746719360352</v>
      </c>
      <c r="H28" s="259">
        <v>27.185436248779297</v>
      </c>
      <c r="I28" s="260">
        <v>26.831560999999997</v>
      </c>
      <c r="J28" s="260">
        <v>26.85079</v>
      </c>
      <c r="K28" s="260">
        <v>26.869789999999998</v>
      </c>
      <c r="L28" s="260">
        <v>26.888573999999998</v>
      </c>
      <c r="M28" s="260">
        <v>26.907159999999998</v>
      </c>
      <c r="N28" s="260">
        <v>26.925560999999998</v>
      </c>
      <c r="O28" s="260">
        <v>26.943792999999999</v>
      </c>
      <c r="P28" s="260">
        <v>26.961869999999998</v>
      </c>
      <c r="Q28" s="260">
        <v>26.979806</v>
      </c>
      <c r="R28" s="260">
        <v>26.997612999999998</v>
      </c>
      <c r="S28" s="260">
        <v>27.015301999999998</v>
      </c>
      <c r="T28" s="260">
        <v>27.032882999999998</v>
      </c>
      <c r="U28" s="260">
        <v>27.050360999999999</v>
      </c>
      <c r="V28" s="260">
        <v>27.067740999999998</v>
      </c>
      <c r="W28" s="260">
        <v>27.085024999999998</v>
      </c>
      <c r="X28" s="260">
        <v>27.102214</v>
      </c>
      <c r="Y28" s="260">
        <v>27.119306999999999</v>
      </c>
      <c r="Z28" s="260">
        <v>27.136303999999999</v>
      </c>
      <c r="AA28" s="260">
        <v>27.153206999999998</v>
      </c>
      <c r="AB28" s="260">
        <v>27.170014999999999</v>
      </c>
      <c r="AC28" s="260">
        <v>27.186727999999999</v>
      </c>
      <c r="AD28" s="260">
        <v>27.203346999999997</v>
      </c>
      <c r="AE28" s="260">
        <v>27.219871999999999</v>
      </c>
      <c r="AF28" s="260">
        <v>27.236302999999999</v>
      </c>
      <c r="AG28" s="260">
        <v>27.252640999999997</v>
      </c>
      <c r="AH28" s="260">
        <v>27.268884999999997</v>
      </c>
      <c r="AI28" s="260">
        <v>27.285036999999999</v>
      </c>
      <c r="AJ28" s="260">
        <v>27.301095</v>
      </c>
      <c r="AK28" s="260">
        <v>27.317060999999999</v>
      </c>
      <c r="AL28" s="260">
        <v>27.332934999999999</v>
      </c>
      <c r="AM28" s="260">
        <v>27.348716999999997</v>
      </c>
      <c r="AN28" s="260">
        <v>27.364407999999997</v>
      </c>
      <c r="AO28" s="260">
        <v>27.380005999999998</v>
      </c>
      <c r="AP28" s="260">
        <v>27.395513999999999</v>
      </c>
      <c r="AQ28" s="260">
        <v>27.410930999999998</v>
      </c>
      <c r="AR28" s="260">
        <v>27.426257999999997</v>
      </c>
      <c r="AS28" s="260">
        <v>27.441493999999999</v>
      </c>
      <c r="AT28" s="260">
        <v>27.45664</v>
      </c>
      <c r="AU28" s="260">
        <v>27.471696999999999</v>
      </c>
      <c r="AV28" s="260">
        <v>27.486663999999998</v>
      </c>
      <c r="AW28" s="260">
        <v>27.501541999999997</v>
      </c>
      <c r="AX28" s="260">
        <v>27.516330999999997</v>
      </c>
      <c r="AY28" s="260">
        <v>27.531032</v>
      </c>
      <c r="AZ28" s="260">
        <v>27.545645</v>
      </c>
      <c r="BA28" s="260">
        <v>27.560168999999998</v>
      </c>
      <c r="BB28" s="260">
        <v>27.574607</v>
      </c>
      <c r="BC28" s="260">
        <v>27.588956999999997</v>
      </c>
      <c r="BD28" s="260">
        <v>27.60322</v>
      </c>
      <c r="BE28" s="260">
        <v>27.617395999999999</v>
      </c>
      <c r="BF28" s="260">
        <v>27.631485999999999</v>
      </c>
      <c r="BG28" s="260">
        <v>27.645489999999999</v>
      </c>
      <c r="BH28" s="260">
        <v>27.659407999999999</v>
      </c>
      <c r="BI28" s="260">
        <v>27.673240999999997</v>
      </c>
      <c r="BJ28" s="260">
        <v>27.686989000000001</v>
      </c>
      <c r="BK28" s="260">
        <v>27.700651999999998</v>
      </c>
      <c r="BL28" s="260">
        <v>27.714229999999997</v>
      </c>
      <c r="BM28" s="260">
        <v>27.727725</v>
      </c>
      <c r="BN28" s="260">
        <v>27.741135999999997</v>
      </c>
      <c r="BO28" s="260">
        <v>27.754462999999998</v>
      </c>
      <c r="BP28" s="260">
        <v>27.767707999999999</v>
      </c>
      <c r="BQ28" s="260">
        <v>27.780868999999999</v>
      </c>
      <c r="BR28" s="260">
        <v>27.793948</v>
      </c>
      <c r="BS28" s="260">
        <v>27.806944999999999</v>
      </c>
      <c r="BT28" s="260">
        <v>27.819861</v>
      </c>
      <c r="BU28" s="260">
        <v>27.832694</v>
      </c>
      <c r="BV28" s="260">
        <v>27.845447</v>
      </c>
      <c r="BW28" s="260">
        <v>27.858118999999999</v>
      </c>
      <c r="BX28" s="260">
        <v>27.870711</v>
      </c>
      <c r="BY28" s="260">
        <v>27.883222</v>
      </c>
      <c r="BZ28" s="260">
        <v>27.895654</v>
      </c>
      <c r="CA28" s="260">
        <v>27.908006</v>
      </c>
      <c r="CB28" s="260">
        <v>27.920279999999998</v>
      </c>
      <c r="CC28" s="260">
        <v>27.932473999999999</v>
      </c>
      <c r="CD28" s="260">
        <v>27.944590999999999</v>
      </c>
      <c r="CE28" s="260">
        <v>27.956629</v>
      </c>
      <c r="CF28" s="260">
        <v>27.968589999999999</v>
      </c>
      <c r="CG28" s="260">
        <v>27.980473999999997</v>
      </c>
      <c r="CH28" s="260">
        <v>27.992279999999997</v>
      </c>
    </row>
    <row r="29" spans="1:86" x14ac:dyDescent="0.25">
      <c r="A29" s="170">
        <v>1</v>
      </c>
      <c r="B29" s="170">
        <v>28</v>
      </c>
      <c r="C29" s="259">
        <v>26.861988067626953</v>
      </c>
      <c r="D29" s="259">
        <v>26.891555786132813</v>
      </c>
      <c r="E29" s="259">
        <v>26.920608520507813</v>
      </c>
      <c r="F29" s="259">
        <v>26.949161529541016</v>
      </c>
      <c r="G29" s="259">
        <v>26.977222442626953</v>
      </c>
      <c r="H29" s="259">
        <v>27.004802703857422</v>
      </c>
      <c r="I29" s="260">
        <v>26.655775999999999</v>
      </c>
      <c r="J29" s="260">
        <v>26.675433999999999</v>
      </c>
      <c r="K29" s="260">
        <v>26.694865</v>
      </c>
      <c r="L29" s="260">
        <v>26.714081999999998</v>
      </c>
      <c r="M29" s="260">
        <v>26.7331</v>
      </c>
      <c r="N29" s="260">
        <v>26.751933999999999</v>
      </c>
      <c r="O29" s="260">
        <v>26.770598</v>
      </c>
      <c r="P29" s="260">
        <v>26.789106999999998</v>
      </c>
      <c r="Q29" s="260">
        <v>26.807473999999999</v>
      </c>
      <c r="R29" s="260">
        <v>26.825709999999997</v>
      </c>
      <c r="S29" s="260">
        <v>26.843827999999998</v>
      </c>
      <c r="T29" s="260">
        <v>26.861836</v>
      </c>
      <c r="U29" s="260">
        <v>26.879739999999998</v>
      </c>
      <c r="V29" s="260">
        <v>26.897544999999997</v>
      </c>
      <c r="W29" s="260">
        <v>26.915251999999999</v>
      </c>
      <c r="X29" s="260">
        <v>26.932862999999998</v>
      </c>
      <c r="Y29" s="260">
        <v>26.950377</v>
      </c>
      <c r="Z29" s="260">
        <v>26.967793999999998</v>
      </c>
      <c r="AA29" s="260">
        <v>26.985115</v>
      </c>
      <c r="AB29" s="260">
        <v>27.00234</v>
      </c>
      <c r="AC29" s="260">
        <v>27.019468</v>
      </c>
      <c r="AD29" s="260">
        <v>27.036500999999998</v>
      </c>
      <c r="AE29" s="260">
        <v>27.053438999999997</v>
      </c>
      <c r="AF29" s="260">
        <v>27.070280999999998</v>
      </c>
      <c r="AG29" s="260">
        <v>27.087028999999998</v>
      </c>
      <c r="AH29" s="260">
        <v>27.103681999999999</v>
      </c>
      <c r="AI29" s="260">
        <v>27.120239999999999</v>
      </c>
      <c r="AJ29" s="260">
        <v>27.136703999999998</v>
      </c>
      <c r="AK29" s="260">
        <v>27.153074</v>
      </c>
      <c r="AL29" s="260">
        <v>27.169350999999999</v>
      </c>
      <c r="AM29" s="260">
        <v>27.185534000000001</v>
      </c>
      <c r="AN29" s="260">
        <v>27.201623999999999</v>
      </c>
      <c r="AO29" s="260">
        <v>27.217620999999998</v>
      </c>
      <c r="AP29" s="260">
        <v>27.233525999999998</v>
      </c>
      <c r="AQ29" s="260">
        <v>27.249337999999998</v>
      </c>
      <c r="AR29" s="260">
        <v>27.265058999999997</v>
      </c>
      <c r="AS29" s="260">
        <v>27.280687</v>
      </c>
      <c r="AT29" s="260">
        <v>27.296223999999999</v>
      </c>
      <c r="AU29" s="260">
        <v>27.311669999999999</v>
      </c>
      <c r="AV29" s="260">
        <v>27.327024999999999</v>
      </c>
      <c r="AW29" s="260">
        <v>27.342288999999997</v>
      </c>
      <c r="AX29" s="260">
        <v>27.357462999999999</v>
      </c>
      <c r="AY29" s="260">
        <v>27.372546999999997</v>
      </c>
      <c r="AZ29" s="260">
        <v>27.387540999999999</v>
      </c>
      <c r="BA29" s="260">
        <v>27.402445999999998</v>
      </c>
      <c r="BB29" s="260">
        <v>27.417261999999997</v>
      </c>
      <c r="BC29" s="260">
        <v>27.431988</v>
      </c>
      <c r="BD29" s="260">
        <v>27.446626999999999</v>
      </c>
      <c r="BE29" s="260">
        <v>27.461176999999999</v>
      </c>
      <c r="BF29" s="260">
        <v>27.475638999999997</v>
      </c>
      <c r="BG29" s="260">
        <v>27.490013999999999</v>
      </c>
      <c r="BH29" s="260">
        <v>27.504300999999998</v>
      </c>
      <c r="BI29" s="260">
        <v>27.518500999999997</v>
      </c>
      <c r="BJ29" s="260">
        <v>27.532615</v>
      </c>
      <c r="BK29" s="260">
        <v>27.546641999999999</v>
      </c>
      <c r="BL29" s="260">
        <v>27.560582999999998</v>
      </c>
      <c r="BM29" s="260">
        <v>27.574438999999998</v>
      </c>
      <c r="BN29" s="260">
        <v>27.588208999999999</v>
      </c>
      <c r="BO29" s="260">
        <v>27.601893999999998</v>
      </c>
      <c r="BP29" s="260">
        <v>27.615494999999999</v>
      </c>
      <c r="BQ29" s="260">
        <v>27.629010999999998</v>
      </c>
      <c r="BR29" s="260">
        <v>27.642443</v>
      </c>
      <c r="BS29" s="260">
        <v>27.655790999999997</v>
      </c>
      <c r="BT29" s="260">
        <v>27.669055999999998</v>
      </c>
      <c r="BU29" s="260">
        <v>27.682237999999998</v>
      </c>
      <c r="BV29" s="260">
        <v>27.695336999999999</v>
      </c>
      <c r="BW29" s="260">
        <v>27.708354</v>
      </c>
      <c r="BX29" s="260">
        <v>27.721288999999999</v>
      </c>
      <c r="BY29" s="260">
        <v>27.734141999999999</v>
      </c>
      <c r="BZ29" s="260">
        <v>27.746912999999999</v>
      </c>
      <c r="CA29" s="260">
        <v>27.759604</v>
      </c>
      <c r="CB29" s="260">
        <v>27.772213999999998</v>
      </c>
      <c r="CC29" s="260">
        <v>27.784744</v>
      </c>
      <c r="CD29" s="260">
        <v>27.797193999999998</v>
      </c>
      <c r="CE29" s="260">
        <v>27.809563999999998</v>
      </c>
      <c r="CF29" s="260">
        <v>27.821854999999999</v>
      </c>
      <c r="CG29" s="260">
        <v>27.834066999999997</v>
      </c>
      <c r="CH29" s="260">
        <v>27.8462</v>
      </c>
    </row>
    <row r="30" spans="1:86" x14ac:dyDescent="0.25">
      <c r="A30" s="170">
        <v>1</v>
      </c>
      <c r="B30" s="170">
        <v>29</v>
      </c>
      <c r="C30" s="259">
        <v>26.670286178588867</v>
      </c>
      <c r="D30" s="259">
        <v>26.700843811035156</v>
      </c>
      <c r="E30" s="259">
        <v>26.730871200561523</v>
      </c>
      <c r="F30" s="259">
        <v>26.760383605957031</v>
      </c>
      <c r="G30" s="259">
        <v>26.789386749267578</v>
      </c>
      <c r="H30" s="259">
        <v>26.817892074584961</v>
      </c>
      <c r="I30" s="260">
        <v>26.474827999999999</v>
      </c>
      <c r="J30" s="260">
        <v>26.49492</v>
      </c>
      <c r="K30" s="260">
        <v>26.514786999999998</v>
      </c>
      <c r="L30" s="260">
        <v>26.534441999999999</v>
      </c>
      <c r="M30" s="260">
        <v>26.553898</v>
      </c>
      <c r="N30" s="260">
        <v>26.573170999999999</v>
      </c>
      <c r="O30" s="260">
        <v>26.592274999999997</v>
      </c>
      <c r="P30" s="260">
        <v>26.611222999999999</v>
      </c>
      <c r="Q30" s="260">
        <v>26.630029</v>
      </c>
      <c r="R30" s="260">
        <v>26.648703999999999</v>
      </c>
      <c r="S30" s="260">
        <v>26.667258</v>
      </c>
      <c r="T30" s="260">
        <v>26.685701999999999</v>
      </c>
      <c r="U30" s="260">
        <v>26.704041</v>
      </c>
      <c r="V30" s="260">
        <v>26.722279</v>
      </c>
      <c r="W30" s="260">
        <v>26.740418999999999</v>
      </c>
      <c r="X30" s="260">
        <v>26.758461</v>
      </c>
      <c r="Y30" s="260">
        <v>26.776405</v>
      </c>
      <c r="Z30" s="260">
        <v>26.794249999999998</v>
      </c>
      <c r="AA30" s="260">
        <v>26.811997999999999</v>
      </c>
      <c r="AB30" s="260">
        <v>26.829647999999999</v>
      </c>
      <c r="AC30" s="260">
        <v>26.847200999999998</v>
      </c>
      <c r="AD30" s="260">
        <v>26.864656999999998</v>
      </c>
      <c r="AE30" s="260">
        <v>26.882016</v>
      </c>
      <c r="AF30" s="260">
        <v>26.899279</v>
      </c>
      <c r="AG30" s="260">
        <v>26.916445</v>
      </c>
      <c r="AH30" s="260">
        <v>26.933515</v>
      </c>
      <c r="AI30" s="260">
        <v>26.950489999999999</v>
      </c>
      <c r="AJ30" s="260">
        <v>26.967368</v>
      </c>
      <c r="AK30" s="260">
        <v>26.984151999999998</v>
      </c>
      <c r="AL30" s="260">
        <v>27.00084</v>
      </c>
      <c r="AM30" s="260">
        <v>27.017433</v>
      </c>
      <c r="AN30" s="260">
        <v>27.033932</v>
      </c>
      <c r="AO30" s="260">
        <v>27.050335999999998</v>
      </c>
      <c r="AP30" s="260">
        <v>27.066645999999999</v>
      </c>
      <c r="AQ30" s="260">
        <v>27.082863</v>
      </c>
      <c r="AR30" s="260">
        <v>27.098986</v>
      </c>
      <c r="AS30" s="260">
        <v>27.115015999999997</v>
      </c>
      <c r="AT30" s="260">
        <v>27.130951999999997</v>
      </c>
      <c r="AU30" s="260">
        <v>27.146795999999998</v>
      </c>
      <c r="AV30" s="260">
        <v>27.162547999999997</v>
      </c>
      <c r="AW30" s="260">
        <v>27.178207</v>
      </c>
      <c r="AX30" s="260">
        <v>27.193774999999999</v>
      </c>
      <c r="AY30" s="260">
        <v>27.209250999999998</v>
      </c>
      <c r="AZ30" s="260">
        <v>27.224636</v>
      </c>
      <c r="BA30" s="260">
        <v>27.239929</v>
      </c>
      <c r="BB30" s="260">
        <v>27.255132</v>
      </c>
      <c r="BC30" s="260">
        <v>27.270244999999999</v>
      </c>
      <c r="BD30" s="260">
        <v>27.285266999999997</v>
      </c>
      <c r="BE30" s="260">
        <v>27.3002</v>
      </c>
      <c r="BF30" s="260">
        <v>27.315042999999999</v>
      </c>
      <c r="BG30" s="260">
        <v>27.329796999999999</v>
      </c>
      <c r="BH30" s="260">
        <v>27.344462</v>
      </c>
      <c r="BI30" s="260">
        <v>27.359038999999999</v>
      </c>
      <c r="BJ30" s="260">
        <v>27.373526999999999</v>
      </c>
      <c r="BK30" s="260">
        <v>27.387927999999999</v>
      </c>
      <c r="BL30" s="260">
        <v>27.402239999999999</v>
      </c>
      <c r="BM30" s="260">
        <v>27.416466</v>
      </c>
      <c r="BN30" s="260">
        <v>27.430603999999999</v>
      </c>
      <c r="BO30" s="260">
        <v>27.444655999999998</v>
      </c>
      <c r="BP30" s="260">
        <v>27.458620999999997</v>
      </c>
      <c r="BQ30" s="260">
        <v>27.4725</v>
      </c>
      <c r="BR30" s="260">
        <v>27.486293999999997</v>
      </c>
      <c r="BS30" s="260">
        <v>27.500001999999999</v>
      </c>
      <c r="BT30" s="260">
        <v>27.513625999999999</v>
      </c>
      <c r="BU30" s="260">
        <v>27.527163999999999</v>
      </c>
      <c r="BV30" s="260">
        <v>27.540619</v>
      </c>
      <c r="BW30" s="260">
        <v>27.553988999999998</v>
      </c>
      <c r="BX30" s="260">
        <v>27.567274999999999</v>
      </c>
      <c r="BY30" s="260">
        <v>27.580477999999999</v>
      </c>
      <c r="BZ30" s="260">
        <v>27.593598999999998</v>
      </c>
      <c r="CA30" s="260">
        <v>27.606635999999998</v>
      </c>
      <c r="CB30" s="260">
        <v>27.619591</v>
      </c>
      <c r="CC30" s="260">
        <v>27.632465</v>
      </c>
      <c r="CD30" s="260">
        <v>27.645256</v>
      </c>
      <c r="CE30" s="260">
        <v>27.657966999999999</v>
      </c>
      <c r="CF30" s="260">
        <v>27.670596</v>
      </c>
      <c r="CG30" s="260">
        <v>27.683145</v>
      </c>
      <c r="CH30" s="260">
        <v>27.695613999999999</v>
      </c>
    </row>
    <row r="31" spans="1:86" x14ac:dyDescent="0.25">
      <c r="A31" s="170">
        <v>1</v>
      </c>
      <c r="B31" s="170">
        <v>30</v>
      </c>
      <c r="C31" s="259">
        <v>26.471990585327148</v>
      </c>
      <c r="D31" s="259">
        <v>26.503576278686523</v>
      </c>
      <c r="E31" s="259">
        <v>26.534618377685547</v>
      </c>
      <c r="F31" s="259">
        <v>26.56512451171875</v>
      </c>
      <c r="G31" s="259">
        <v>26.595108032226563</v>
      </c>
      <c r="H31" s="259">
        <v>26.624578475952148</v>
      </c>
      <c r="I31" s="260">
        <v>26.288250999999999</v>
      </c>
      <c r="J31" s="260">
        <v>26.308786999999999</v>
      </c>
      <c r="K31" s="260">
        <v>26.3291</v>
      </c>
      <c r="L31" s="260">
        <v>26.349202999999999</v>
      </c>
      <c r="M31" s="260">
        <v>26.369107999999997</v>
      </c>
      <c r="N31" s="260">
        <v>26.388831</v>
      </c>
      <c r="O31" s="260">
        <v>26.408386</v>
      </c>
      <c r="P31" s="260">
        <v>26.427783999999999</v>
      </c>
      <c r="Q31" s="260">
        <v>26.447039999999998</v>
      </c>
      <c r="R31" s="260">
        <v>26.466163999999999</v>
      </c>
      <c r="S31" s="260">
        <v>26.485167000000001</v>
      </c>
      <c r="T31" s="260">
        <v>26.504058000000001</v>
      </c>
      <c r="U31" s="260">
        <v>26.522842999999998</v>
      </c>
      <c r="V31" s="260">
        <v>26.541525999999998</v>
      </c>
      <c r="W31" s="260">
        <v>26.560109999999998</v>
      </c>
      <c r="X31" s="260">
        <v>26.578593999999999</v>
      </c>
      <c r="Y31" s="260">
        <v>26.596978999999997</v>
      </c>
      <c r="Z31" s="260">
        <v>26.615264</v>
      </c>
      <c r="AA31" s="260">
        <v>26.63345</v>
      </c>
      <c r="AB31" s="260">
        <v>26.651537999999999</v>
      </c>
      <c r="AC31" s="260">
        <v>26.669525999999998</v>
      </c>
      <c r="AD31" s="260">
        <v>26.687417</v>
      </c>
      <c r="AE31" s="260">
        <v>26.705209</v>
      </c>
      <c r="AF31" s="260">
        <v>26.722902999999999</v>
      </c>
      <c r="AG31" s="260">
        <v>26.740499</v>
      </c>
      <c r="AH31" s="260">
        <v>26.757997999999997</v>
      </c>
      <c r="AI31" s="260">
        <v>26.775399</v>
      </c>
      <c r="AJ31" s="260">
        <v>26.792704000000001</v>
      </c>
      <c r="AK31" s="260">
        <v>26.809911999999997</v>
      </c>
      <c r="AL31" s="260">
        <v>26.827023000000001</v>
      </c>
      <c r="AM31" s="260">
        <v>26.844037</v>
      </c>
      <c r="AN31" s="260">
        <v>26.860955999999998</v>
      </c>
      <c r="AO31" s="260">
        <v>26.877779</v>
      </c>
      <c r="AP31" s="260">
        <v>26.894506</v>
      </c>
      <c r="AQ31" s="260">
        <v>26.911137999999998</v>
      </c>
      <c r="AR31" s="260">
        <v>26.927674999999997</v>
      </c>
      <c r="AS31" s="260">
        <v>26.944116999999999</v>
      </c>
      <c r="AT31" s="260">
        <v>26.960464999999999</v>
      </c>
      <c r="AU31" s="260">
        <v>26.976717999999998</v>
      </c>
      <c r="AV31" s="260">
        <v>26.992877</v>
      </c>
      <c r="AW31" s="260">
        <v>27.008942999999999</v>
      </c>
      <c r="AX31" s="260">
        <v>27.024915</v>
      </c>
      <c r="AY31" s="260">
        <v>27.040793999999998</v>
      </c>
      <c r="AZ31" s="260">
        <v>27.056580999999998</v>
      </c>
      <c r="BA31" s="260">
        <v>27.072274</v>
      </c>
      <c r="BB31" s="260">
        <v>27.087875999999998</v>
      </c>
      <c r="BC31" s="260">
        <v>27.103384999999999</v>
      </c>
      <c r="BD31" s="260">
        <v>27.118803</v>
      </c>
      <c r="BE31" s="260">
        <v>27.134128999999998</v>
      </c>
      <c r="BF31" s="260">
        <v>27.149363999999998</v>
      </c>
      <c r="BG31" s="260">
        <v>27.164507999999998</v>
      </c>
      <c r="BH31" s="260">
        <v>27.179561999999997</v>
      </c>
      <c r="BI31" s="260">
        <v>27.194526</v>
      </c>
      <c r="BJ31" s="260">
        <v>27.209398999999998</v>
      </c>
      <c r="BK31" s="260">
        <v>27.224183</v>
      </c>
      <c r="BL31" s="260">
        <v>27.238878</v>
      </c>
      <c r="BM31" s="260">
        <v>27.253484</v>
      </c>
      <c r="BN31" s="260">
        <v>27.268000999999998</v>
      </c>
      <c r="BO31" s="260">
        <v>27.282429999999998</v>
      </c>
      <c r="BP31" s="260">
        <v>27.296771</v>
      </c>
      <c r="BQ31" s="260">
        <v>27.311024</v>
      </c>
      <c r="BR31" s="260">
        <v>27.325189999999999</v>
      </c>
      <c r="BS31" s="260">
        <v>27.339268999999998</v>
      </c>
      <c r="BT31" s="260">
        <v>27.353261</v>
      </c>
      <c r="BU31" s="260">
        <v>27.367166999999998</v>
      </c>
      <c r="BV31" s="260">
        <v>27.380986999999998</v>
      </c>
      <c r="BW31" s="260">
        <v>27.394720999999997</v>
      </c>
      <c r="BX31" s="260">
        <v>27.408369</v>
      </c>
      <c r="BY31" s="260">
        <v>27.421932999999999</v>
      </c>
      <c r="BZ31" s="260">
        <v>27.435411999999999</v>
      </c>
      <c r="CA31" s="260">
        <v>27.448806999999999</v>
      </c>
      <c r="CB31" s="260">
        <v>27.462116999999999</v>
      </c>
      <c r="CC31" s="260">
        <v>27.475344</v>
      </c>
      <c r="CD31" s="260">
        <v>27.488488</v>
      </c>
      <c r="CE31" s="260">
        <v>27.501548999999997</v>
      </c>
      <c r="CF31" s="260">
        <v>27.514526999999998</v>
      </c>
      <c r="CG31" s="260">
        <v>27.527421999999998</v>
      </c>
      <c r="CH31" s="260">
        <v>27.540236</v>
      </c>
    </row>
    <row r="32" spans="1:86" x14ac:dyDescent="0.25">
      <c r="A32" s="170">
        <v>1</v>
      </c>
      <c r="B32" s="170">
        <v>31</v>
      </c>
      <c r="C32" s="259">
        <v>26.266603469848633</v>
      </c>
      <c r="D32" s="259">
        <v>26.299224853515625</v>
      </c>
      <c r="E32" s="259">
        <v>26.33128547668457</v>
      </c>
      <c r="F32" s="259">
        <v>26.362796783447266</v>
      </c>
      <c r="G32" s="259">
        <v>26.393768310546875</v>
      </c>
      <c r="H32" s="259">
        <v>26.424211502075195</v>
      </c>
      <c r="I32" s="260">
        <v>26.095790999999998</v>
      </c>
      <c r="J32" s="260">
        <v>26.116782999999998</v>
      </c>
      <c r="K32" s="260">
        <v>26.137553</v>
      </c>
      <c r="L32" s="260">
        <v>26.158114999999999</v>
      </c>
      <c r="M32" s="260">
        <v>26.178481999999999</v>
      </c>
      <c r="N32" s="260">
        <v>26.198667</v>
      </c>
      <c r="O32" s="260">
        <v>26.218684</v>
      </c>
      <c r="P32" s="260">
        <v>26.238544999999998</v>
      </c>
      <c r="Q32" s="260">
        <v>26.258262999999999</v>
      </c>
      <c r="R32" s="260">
        <v>26.277849</v>
      </c>
      <c r="S32" s="260">
        <v>26.297312999999999</v>
      </c>
      <c r="T32" s="260">
        <v>26.316663999999999</v>
      </c>
      <c r="U32" s="260">
        <v>26.335908</v>
      </c>
      <c r="V32" s="260">
        <v>26.355048</v>
      </c>
      <c r="W32" s="260">
        <v>26.374088</v>
      </c>
      <c r="X32" s="260">
        <v>26.393027</v>
      </c>
      <c r="Y32" s="260">
        <v>26.411864999999999</v>
      </c>
      <c r="Z32" s="260">
        <v>26.430602</v>
      </c>
      <c r="AA32" s="260">
        <v>26.449238999999999</v>
      </c>
      <c r="AB32" s="260">
        <v>26.467775999999997</v>
      </c>
      <c r="AC32" s="260">
        <v>26.486211999999998</v>
      </c>
      <c r="AD32" s="260">
        <v>26.504548999999997</v>
      </c>
      <c r="AE32" s="260">
        <v>26.522786999999997</v>
      </c>
      <c r="AF32" s="260">
        <v>26.540924</v>
      </c>
      <c r="AG32" s="260">
        <v>26.558962999999999</v>
      </c>
      <c r="AH32" s="260">
        <v>26.576902999999998</v>
      </c>
      <c r="AI32" s="260">
        <v>26.594743999999999</v>
      </c>
      <c r="AJ32" s="260">
        <v>26.612486000000001</v>
      </c>
      <c r="AK32" s="260">
        <v>26.630129999999998</v>
      </c>
      <c r="AL32" s="260">
        <v>26.647675999999997</v>
      </c>
      <c r="AM32" s="260">
        <v>26.665125</v>
      </c>
      <c r="AN32" s="260">
        <v>26.682475</v>
      </c>
      <c r="AO32" s="260">
        <v>26.699728999999998</v>
      </c>
      <c r="AP32" s="260">
        <v>26.716884999999998</v>
      </c>
      <c r="AQ32" s="260">
        <v>26.733943999999997</v>
      </c>
      <c r="AR32" s="260">
        <v>26.750906999999998</v>
      </c>
      <c r="AS32" s="260">
        <v>26.767773999999999</v>
      </c>
      <c r="AT32" s="260">
        <v>26.784544</v>
      </c>
      <c r="AU32" s="260">
        <v>26.801219</v>
      </c>
      <c r="AV32" s="260">
        <v>26.817798</v>
      </c>
      <c r="AW32" s="260">
        <v>26.834281999999998</v>
      </c>
      <c r="AX32" s="260">
        <v>26.850669999999997</v>
      </c>
      <c r="AY32" s="260">
        <v>26.866963999999999</v>
      </c>
      <c r="AZ32" s="260">
        <v>26.883163999999997</v>
      </c>
      <c r="BA32" s="260">
        <v>26.899269</v>
      </c>
      <c r="BB32" s="260">
        <v>26.915281</v>
      </c>
      <c r="BC32" s="260">
        <v>26.931197999999998</v>
      </c>
      <c r="BD32" s="260">
        <v>26.947022999999998</v>
      </c>
      <c r="BE32" s="260">
        <v>26.962754</v>
      </c>
      <c r="BF32" s="260">
        <v>26.978393000000001</v>
      </c>
      <c r="BG32" s="260">
        <v>26.993938999999997</v>
      </c>
      <c r="BH32" s="260">
        <v>27.009392999999999</v>
      </c>
      <c r="BI32" s="260">
        <v>27.024754999999999</v>
      </c>
      <c r="BJ32" s="260">
        <v>27.040025999999997</v>
      </c>
      <c r="BK32" s="260">
        <v>27.055204999999997</v>
      </c>
      <c r="BL32" s="260">
        <v>27.070294000000001</v>
      </c>
      <c r="BM32" s="260">
        <v>27.085290999999998</v>
      </c>
      <c r="BN32" s="260">
        <v>27.100199</v>
      </c>
      <c r="BO32" s="260">
        <v>27.115015999999997</v>
      </c>
      <c r="BP32" s="260">
        <v>27.129743999999999</v>
      </c>
      <c r="BQ32" s="260">
        <v>27.144382</v>
      </c>
      <c r="BR32" s="260">
        <v>27.158932</v>
      </c>
      <c r="BS32" s="260">
        <v>27.173392</v>
      </c>
      <c r="BT32" s="260">
        <v>27.187764999999999</v>
      </c>
      <c r="BU32" s="260">
        <v>27.202048999999999</v>
      </c>
      <c r="BV32" s="260">
        <v>27.216244999999997</v>
      </c>
      <c r="BW32" s="260">
        <v>27.230353999999998</v>
      </c>
      <c r="BX32" s="260">
        <v>27.244375999999999</v>
      </c>
      <c r="BY32" s="260">
        <v>27.258310999999999</v>
      </c>
      <c r="BZ32" s="260">
        <v>27.27216</v>
      </c>
      <c r="CA32" s="260">
        <v>27.285921999999999</v>
      </c>
      <c r="CB32" s="260">
        <v>27.299598999999997</v>
      </c>
      <c r="CC32" s="260">
        <v>27.313191</v>
      </c>
      <c r="CD32" s="260">
        <v>27.326696999999999</v>
      </c>
      <c r="CE32" s="260">
        <v>27.340118999999998</v>
      </c>
      <c r="CF32" s="260">
        <v>27.353456999999999</v>
      </c>
      <c r="CG32" s="260">
        <v>27.366709999999998</v>
      </c>
      <c r="CH32" s="260">
        <v>27.37988</v>
      </c>
    </row>
    <row r="33" spans="1:86" x14ac:dyDescent="0.25">
      <c r="A33" s="170">
        <v>1</v>
      </c>
      <c r="B33" s="170">
        <v>32</v>
      </c>
      <c r="C33" s="259">
        <v>26.054201126098633</v>
      </c>
      <c r="D33" s="259">
        <v>26.087896347045898</v>
      </c>
      <c r="E33" s="259">
        <v>26.121015548706055</v>
      </c>
      <c r="F33" s="259">
        <v>26.153566360473633</v>
      </c>
      <c r="G33" s="259">
        <v>26.185562133789063</v>
      </c>
      <c r="H33" s="259">
        <v>26.217014312744141</v>
      </c>
      <c r="I33" s="260">
        <v>25.897548999999998</v>
      </c>
      <c r="J33" s="260">
        <v>25.919006</v>
      </c>
      <c r="K33" s="260">
        <v>25.940242999999999</v>
      </c>
      <c r="L33" s="260">
        <v>25.961274</v>
      </c>
      <c r="M33" s="260">
        <v>25.982111</v>
      </c>
      <c r="N33" s="260">
        <v>26.002766999999999</v>
      </c>
      <c r="O33" s="260">
        <v>26.023256</v>
      </c>
      <c r="P33" s="260">
        <v>26.043589999999998</v>
      </c>
      <c r="Q33" s="260">
        <v>26.063779999999998</v>
      </c>
      <c r="R33" s="260">
        <v>26.083838</v>
      </c>
      <c r="S33" s="260">
        <v>26.103773</v>
      </c>
      <c r="T33" s="260">
        <v>26.123593999999997</v>
      </c>
      <c r="U33" s="260">
        <v>26.143307</v>
      </c>
      <c r="V33" s="260">
        <v>26.162914999999998</v>
      </c>
      <c r="W33" s="260">
        <v>26.182421999999999</v>
      </c>
      <c r="X33" s="260">
        <v>26.201824999999999</v>
      </c>
      <c r="Y33" s="260">
        <v>26.221126999999999</v>
      </c>
      <c r="Z33" s="260">
        <v>26.240326999999997</v>
      </c>
      <c r="AA33" s="260">
        <v>26.259425</v>
      </c>
      <c r="AB33" s="260">
        <v>26.278420999999998</v>
      </c>
      <c r="AC33" s="260">
        <v>26.297315999999999</v>
      </c>
      <c r="AD33" s="260">
        <v>26.316109999999998</v>
      </c>
      <c r="AE33" s="260">
        <v>26.334802999999997</v>
      </c>
      <c r="AF33" s="260">
        <v>26.353394999999999</v>
      </c>
      <c r="AG33" s="260">
        <v>26.371886</v>
      </c>
      <c r="AH33" s="260">
        <v>26.390276999999998</v>
      </c>
      <c r="AI33" s="260">
        <v>26.408567999999999</v>
      </c>
      <c r="AJ33" s="260">
        <v>26.426759000000001</v>
      </c>
      <c r="AK33" s="260">
        <v>26.444849999999999</v>
      </c>
      <c r="AL33" s="260">
        <v>26.462841999999998</v>
      </c>
      <c r="AM33" s="260">
        <v>26.480733999999998</v>
      </c>
      <c r="AN33" s="260">
        <v>26.498526999999999</v>
      </c>
      <c r="AO33" s="260">
        <v>26.516220999999998</v>
      </c>
      <c r="AP33" s="260">
        <v>26.533816999999999</v>
      </c>
      <c r="AQ33" s="260">
        <v>26.551313999999998</v>
      </c>
      <c r="AR33" s="260">
        <v>26.568712999999999</v>
      </c>
      <c r="AS33" s="260">
        <v>26.586015</v>
      </c>
      <c r="AT33" s="260">
        <v>26.603217999999998</v>
      </c>
      <c r="AU33" s="260">
        <v>26.620324999999998</v>
      </c>
      <c r="AV33" s="260">
        <v>26.637333999999999</v>
      </c>
      <c r="AW33" s="260">
        <v>26.654246000000001</v>
      </c>
      <c r="AX33" s="260">
        <v>26.671061999999999</v>
      </c>
      <c r="AY33" s="260">
        <v>26.687780999999998</v>
      </c>
      <c r="AZ33" s="260">
        <v>26.704404</v>
      </c>
      <c r="BA33" s="260">
        <v>26.720931</v>
      </c>
      <c r="BB33" s="260">
        <v>26.737362999999998</v>
      </c>
      <c r="BC33" s="260">
        <v>26.753699999999998</v>
      </c>
      <c r="BD33" s="260">
        <v>26.769940999999999</v>
      </c>
      <c r="BE33" s="260">
        <v>26.786087999999999</v>
      </c>
      <c r="BF33" s="260">
        <v>26.802140999999999</v>
      </c>
      <c r="BG33" s="260">
        <v>26.818099</v>
      </c>
      <c r="BH33" s="260">
        <v>26.833963999999998</v>
      </c>
      <c r="BI33" s="260">
        <v>26.849734999999999</v>
      </c>
      <c r="BJ33" s="260">
        <v>26.865411999999999</v>
      </c>
      <c r="BK33" s="260">
        <v>26.880996999999997</v>
      </c>
      <c r="BL33" s="260">
        <v>26.896488999999999</v>
      </c>
      <c r="BM33" s="260">
        <v>26.911888999999999</v>
      </c>
      <c r="BN33" s="260">
        <v>26.927197</v>
      </c>
      <c r="BO33" s="260">
        <v>26.942412999999998</v>
      </c>
      <c r="BP33" s="260">
        <v>26.957538</v>
      </c>
      <c r="BQ33" s="260">
        <v>26.972572</v>
      </c>
      <c r="BR33" s="260">
        <v>26.987513999999997</v>
      </c>
      <c r="BS33" s="260">
        <v>27.002367</v>
      </c>
      <c r="BT33" s="260">
        <v>27.017128999999997</v>
      </c>
      <c r="BU33" s="260">
        <v>27.031800999999998</v>
      </c>
      <c r="BV33" s="260">
        <v>27.046384</v>
      </c>
      <c r="BW33" s="260">
        <v>27.060877999999999</v>
      </c>
      <c r="BX33" s="260">
        <v>27.075282999999999</v>
      </c>
      <c r="BY33" s="260">
        <v>27.089599999999997</v>
      </c>
      <c r="BZ33" s="260">
        <v>27.103828</v>
      </c>
      <c r="CA33" s="260">
        <v>27.117968999999999</v>
      </c>
      <c r="CB33" s="260">
        <v>27.132021999999999</v>
      </c>
      <c r="CC33" s="260">
        <v>27.145987999999999</v>
      </c>
      <c r="CD33" s="260">
        <v>27.159866999999998</v>
      </c>
      <c r="CE33" s="260">
        <v>27.173659999999998</v>
      </c>
      <c r="CF33" s="260">
        <v>27.187365999999997</v>
      </c>
      <c r="CG33" s="260">
        <v>27.200986999999998</v>
      </c>
      <c r="CH33" s="260">
        <v>27.214523</v>
      </c>
    </row>
    <row r="34" spans="1:86" x14ac:dyDescent="0.25">
      <c r="A34" s="170">
        <v>1</v>
      </c>
      <c r="B34" s="170">
        <v>33</v>
      </c>
      <c r="C34" s="259">
        <v>25.834699630737305</v>
      </c>
      <c r="D34" s="259">
        <v>25.869504928588867</v>
      </c>
      <c r="E34" s="259">
        <v>25.903715133666992</v>
      </c>
      <c r="F34" s="259">
        <v>25.937343597412109</v>
      </c>
      <c r="G34" s="259">
        <v>25.970399856567383</v>
      </c>
      <c r="H34" s="259">
        <v>26.002895355224609</v>
      </c>
      <c r="I34" s="260">
        <v>25.693645999999998</v>
      </c>
      <c r="J34" s="260">
        <v>25.715574</v>
      </c>
      <c r="K34" s="260">
        <v>25.737283999999999</v>
      </c>
      <c r="L34" s="260">
        <v>25.758789999999998</v>
      </c>
      <c r="M34" s="260">
        <v>25.780103</v>
      </c>
      <c r="N34" s="260">
        <v>25.801237999999998</v>
      </c>
      <c r="O34" s="260">
        <v>25.822205999999998</v>
      </c>
      <c r="P34" s="260">
        <v>25.843018999999998</v>
      </c>
      <c r="Q34" s="260">
        <v>25.863688999999997</v>
      </c>
      <c r="R34" s="260">
        <v>25.884226999999999</v>
      </c>
      <c r="S34" s="260">
        <v>25.904640999999998</v>
      </c>
      <c r="T34" s="260">
        <v>25.924939999999999</v>
      </c>
      <c r="U34" s="260">
        <v>25.945128999999998</v>
      </c>
      <c r="V34" s="260">
        <v>25.965214</v>
      </c>
      <c r="W34" s="260">
        <v>25.985194999999997</v>
      </c>
      <c r="X34" s="260">
        <v>26.005071999999998</v>
      </c>
      <c r="Y34" s="260">
        <v>26.024846</v>
      </c>
      <c r="Z34" s="260">
        <v>26.044515999999998</v>
      </c>
      <c r="AA34" s="260">
        <v>26.064083</v>
      </c>
      <c r="AB34" s="260">
        <v>26.083548</v>
      </c>
      <c r="AC34" s="260">
        <v>26.102909999999998</v>
      </c>
      <c r="AD34" s="260">
        <v>26.122169</v>
      </c>
      <c r="AE34" s="260">
        <v>26.141325999999999</v>
      </c>
      <c r="AF34" s="260">
        <v>26.16038</v>
      </c>
      <c r="AG34" s="260">
        <v>26.179333</v>
      </c>
      <c r="AH34" s="260">
        <v>26.198183999999998</v>
      </c>
      <c r="AI34" s="260">
        <v>26.216932999999997</v>
      </c>
      <c r="AJ34" s="260">
        <v>26.235581</v>
      </c>
      <c r="AK34" s="260">
        <v>26.254127</v>
      </c>
      <c r="AL34" s="260">
        <v>26.272572999999998</v>
      </c>
      <c r="AM34" s="260">
        <v>26.290917</v>
      </c>
      <c r="AN34" s="260">
        <v>26.309161999999997</v>
      </c>
      <c r="AO34" s="260">
        <v>26.327306</v>
      </c>
      <c r="AP34" s="260">
        <v>26.345348999999999</v>
      </c>
      <c r="AQ34" s="260">
        <v>26.363292999999999</v>
      </c>
      <c r="AR34" s="260">
        <v>26.381136999999999</v>
      </c>
      <c r="AS34" s="260">
        <v>26.398882</v>
      </c>
      <c r="AT34" s="260">
        <v>26.416528</v>
      </c>
      <c r="AU34" s="260">
        <v>26.434073999999999</v>
      </c>
      <c r="AV34" s="260">
        <v>26.451521999999997</v>
      </c>
      <c r="AW34" s="260">
        <v>26.468871999999998</v>
      </c>
      <c r="AX34" s="260">
        <v>26.486122999999999</v>
      </c>
      <c r="AY34" s="260">
        <v>26.503276</v>
      </c>
      <c r="AZ34" s="260">
        <v>26.520332</v>
      </c>
      <c r="BA34" s="260">
        <v>26.537289999999999</v>
      </c>
      <c r="BB34" s="260">
        <v>26.554150999999997</v>
      </c>
      <c r="BC34" s="260">
        <v>26.570914999999999</v>
      </c>
      <c r="BD34" s="260">
        <v>26.587582999999999</v>
      </c>
      <c r="BE34" s="260">
        <v>26.604153999999998</v>
      </c>
      <c r="BF34" s="260">
        <v>26.620628999999997</v>
      </c>
      <c r="BG34" s="260">
        <v>26.637007999999998</v>
      </c>
      <c r="BH34" s="260">
        <v>26.653292</v>
      </c>
      <c r="BI34" s="260">
        <v>26.669480999999998</v>
      </c>
      <c r="BJ34" s="260">
        <v>26.685573999999999</v>
      </c>
      <c r="BK34" s="260">
        <v>26.701573</v>
      </c>
      <c r="BL34" s="260">
        <v>26.717478</v>
      </c>
      <c r="BM34" s="260">
        <v>26.733288999999999</v>
      </c>
      <c r="BN34" s="260">
        <v>26.749005999999998</v>
      </c>
      <c r="BO34" s="260">
        <v>26.764628999999999</v>
      </c>
      <c r="BP34" s="260">
        <v>26.780159999999999</v>
      </c>
      <c r="BQ34" s="260">
        <v>26.795596999999997</v>
      </c>
      <c r="BR34" s="260">
        <v>26.810941999999997</v>
      </c>
      <c r="BS34" s="260">
        <v>26.826194999999998</v>
      </c>
      <c r="BT34" s="260">
        <v>26.841355999999998</v>
      </c>
      <c r="BU34" s="260">
        <v>26.856425999999999</v>
      </c>
      <c r="BV34" s="260">
        <v>26.871403999999998</v>
      </c>
      <c r="BW34" s="260">
        <v>26.886291999999997</v>
      </c>
      <c r="BX34" s="260">
        <v>26.901087999999998</v>
      </c>
      <c r="BY34" s="260">
        <v>26.915794999999999</v>
      </c>
      <c r="BZ34" s="260">
        <v>26.930412</v>
      </c>
      <c r="CA34" s="260">
        <v>26.944938999999998</v>
      </c>
      <c r="CB34" s="260">
        <v>26.959377</v>
      </c>
      <c r="CC34" s="260">
        <v>26.973725999999999</v>
      </c>
      <c r="CD34" s="260">
        <v>26.987985999999999</v>
      </c>
      <c r="CE34" s="260">
        <v>27.002157999999998</v>
      </c>
      <c r="CF34" s="260">
        <v>27.016242999999999</v>
      </c>
      <c r="CG34" s="260">
        <v>27.030239999999999</v>
      </c>
      <c r="CH34" s="260">
        <v>27.044148999999997</v>
      </c>
    </row>
    <row r="35" spans="1:86" x14ac:dyDescent="0.25">
      <c r="A35" s="170">
        <v>1</v>
      </c>
      <c r="B35" s="170">
        <v>34</v>
      </c>
      <c r="C35" s="259">
        <v>25.608051300048828</v>
      </c>
      <c r="D35" s="259">
        <v>25.643999099731445</v>
      </c>
      <c r="E35" s="259">
        <v>25.679336547851563</v>
      </c>
      <c r="F35" s="259">
        <v>25.714071273803711</v>
      </c>
      <c r="G35" s="259">
        <v>25.748220443725586</v>
      </c>
      <c r="H35" s="259">
        <v>25.781791687011719</v>
      </c>
      <c r="I35" s="260">
        <v>25.483858999999999</v>
      </c>
      <c r="J35" s="260">
        <v>25.506266</v>
      </c>
      <c r="K35" s="260">
        <v>25.528457</v>
      </c>
      <c r="L35" s="260">
        <v>25.550445</v>
      </c>
      <c r="M35" s="260">
        <v>25.572243</v>
      </c>
      <c r="N35" s="260">
        <v>25.593862999999999</v>
      </c>
      <c r="O35" s="260">
        <v>25.615316999999997</v>
      </c>
      <c r="P35" s="260">
        <v>25.636617999999999</v>
      </c>
      <c r="Q35" s="260">
        <v>25.657775999999998</v>
      </c>
      <c r="R35" s="260">
        <v>25.678801</v>
      </c>
      <c r="S35" s="260">
        <v>25.699703</v>
      </c>
      <c r="T35" s="260">
        <v>25.720488</v>
      </c>
      <c r="U35" s="260">
        <v>25.741163999999998</v>
      </c>
      <c r="V35" s="260">
        <v>25.761733</v>
      </c>
      <c r="W35" s="260">
        <v>25.782197</v>
      </c>
      <c r="X35" s="260">
        <v>25.802555999999999</v>
      </c>
      <c r="Y35" s="260">
        <v>25.82281</v>
      </c>
      <c r="Z35" s="260">
        <v>25.842959999999998</v>
      </c>
      <c r="AA35" s="260">
        <v>25.863005999999999</v>
      </c>
      <c r="AB35" s="260">
        <v>25.882947999999999</v>
      </c>
      <c r="AC35" s="260">
        <v>25.902784999999998</v>
      </c>
      <c r="AD35" s="260">
        <v>25.922518</v>
      </c>
      <c r="AE35" s="260">
        <v>25.942148</v>
      </c>
      <c r="AF35" s="260">
        <v>25.961673999999999</v>
      </c>
      <c r="AG35" s="260">
        <v>25.981096999999998</v>
      </c>
      <c r="AH35" s="260">
        <v>26.000416999999999</v>
      </c>
      <c r="AI35" s="260">
        <v>26.019632999999999</v>
      </c>
      <c r="AJ35" s="260">
        <v>26.038746999999997</v>
      </c>
      <c r="AK35" s="260">
        <v>26.057758</v>
      </c>
      <c r="AL35" s="260">
        <v>26.076667</v>
      </c>
      <c r="AM35" s="260">
        <v>26.095473999999999</v>
      </c>
      <c r="AN35" s="260">
        <v>26.114177999999999</v>
      </c>
      <c r="AO35" s="260">
        <v>26.132780999999998</v>
      </c>
      <c r="AP35" s="260">
        <v>26.151280999999997</v>
      </c>
      <c r="AQ35" s="260">
        <v>26.169680999999997</v>
      </c>
      <c r="AR35" s="260">
        <v>26.187978999999999</v>
      </c>
      <c r="AS35" s="260">
        <v>26.206177</v>
      </c>
      <c r="AT35" s="260">
        <v>26.224273999999998</v>
      </c>
      <c r="AU35" s="260">
        <v>26.242269999999998</v>
      </c>
      <c r="AV35" s="260">
        <v>26.260165999999998</v>
      </c>
      <c r="AW35" s="260">
        <v>26.277961999999999</v>
      </c>
      <c r="AX35" s="260">
        <v>26.295658</v>
      </c>
      <c r="AY35" s="260">
        <v>26.313253999999997</v>
      </c>
      <c r="AZ35" s="260">
        <v>26.330752</v>
      </c>
      <c r="BA35" s="260">
        <v>26.34815</v>
      </c>
      <c r="BB35" s="260">
        <v>26.365448999999998</v>
      </c>
      <c r="BC35" s="260">
        <v>26.382649999999998</v>
      </c>
      <c r="BD35" s="260">
        <v>26.399753</v>
      </c>
      <c r="BE35" s="260">
        <v>26.416757999999998</v>
      </c>
      <c r="BF35" s="260">
        <v>26.433664999999998</v>
      </c>
      <c r="BG35" s="260">
        <v>26.450474</v>
      </c>
      <c r="BH35" s="260">
        <v>26.467185999999998</v>
      </c>
      <c r="BI35" s="260">
        <v>26.483801999999997</v>
      </c>
      <c r="BJ35" s="260">
        <v>26.500321</v>
      </c>
      <c r="BK35" s="260">
        <v>26.516742999999998</v>
      </c>
      <c r="BL35" s="260">
        <v>26.533069999999999</v>
      </c>
      <c r="BM35" s="260">
        <v>26.549301</v>
      </c>
      <c r="BN35" s="260">
        <v>26.565435999999998</v>
      </c>
      <c r="BO35" s="260">
        <v>26.581475999999999</v>
      </c>
      <c r="BP35" s="260">
        <v>26.597421999999998</v>
      </c>
      <c r="BQ35" s="260">
        <v>26.613271999999998</v>
      </c>
      <c r="BR35" s="260">
        <v>26.629028999999999</v>
      </c>
      <c r="BS35" s="260">
        <v>26.644691999999999</v>
      </c>
      <c r="BT35" s="260">
        <v>26.660260999999998</v>
      </c>
      <c r="BU35" s="260">
        <v>26.675736999999998</v>
      </c>
      <c r="BV35" s="260">
        <v>26.691119999999998</v>
      </c>
      <c r="BW35" s="260">
        <v>26.706409999999998</v>
      </c>
      <c r="BX35" s="260">
        <v>26.721608</v>
      </c>
      <c r="BY35" s="260">
        <v>26.736712999999998</v>
      </c>
      <c r="BZ35" s="260">
        <v>26.751728</v>
      </c>
      <c r="CA35" s="260">
        <v>26.766649999999998</v>
      </c>
      <c r="CB35" s="260">
        <v>26.781482</v>
      </c>
      <c r="CC35" s="260">
        <v>26.796222999999998</v>
      </c>
      <c r="CD35" s="260">
        <v>26.810873999999998</v>
      </c>
      <c r="CE35" s="260">
        <v>26.825434999999999</v>
      </c>
      <c r="CF35" s="260">
        <v>26.839905999999999</v>
      </c>
      <c r="CG35" s="260">
        <v>26.854288</v>
      </c>
      <c r="CH35" s="260">
        <v>26.868580999999999</v>
      </c>
    </row>
    <row r="36" spans="1:86" x14ac:dyDescent="0.25">
      <c r="A36" s="170">
        <v>1</v>
      </c>
      <c r="B36" s="170">
        <v>35</v>
      </c>
      <c r="C36" s="259">
        <v>25.374181747436523</v>
      </c>
      <c r="D36" s="259">
        <v>25.41130256652832</v>
      </c>
      <c r="E36" s="259">
        <v>25.447793960571289</v>
      </c>
      <c r="F36" s="259">
        <v>25.483669281005859</v>
      </c>
      <c r="G36" s="259">
        <v>25.518938064575195</v>
      </c>
      <c r="H36" s="259">
        <v>25.553615570068359</v>
      </c>
      <c r="I36" s="260">
        <v>25.267666999999999</v>
      </c>
      <c r="J36" s="260">
        <v>25.290568</v>
      </c>
      <c r="K36" s="260">
        <v>25.313253</v>
      </c>
      <c r="L36" s="260">
        <v>25.335735999999997</v>
      </c>
      <c r="M36" s="260">
        <v>25.358029999999999</v>
      </c>
      <c r="N36" s="260">
        <v>25.380147999999998</v>
      </c>
      <c r="O36" s="260">
        <v>25.402099999999997</v>
      </c>
      <c r="P36" s="260">
        <v>25.4239</v>
      </c>
      <c r="Q36" s="260">
        <v>25.445556999999997</v>
      </c>
      <c r="R36" s="260">
        <v>25.467081999999998</v>
      </c>
      <c r="S36" s="260">
        <v>25.488481999999998</v>
      </c>
      <c r="T36" s="260">
        <v>25.509765999999999</v>
      </c>
      <c r="U36" s="260">
        <v>25.530939</v>
      </c>
      <c r="V36" s="260">
        <v>25.552004</v>
      </c>
      <c r="W36" s="260">
        <v>25.572962999999998</v>
      </c>
      <c r="X36" s="260">
        <v>25.593816</v>
      </c>
      <c r="Y36" s="260">
        <v>25.614563</v>
      </c>
      <c r="Z36" s="260">
        <v>25.635203999999998</v>
      </c>
      <c r="AA36" s="260">
        <v>25.655739999999998</v>
      </c>
      <c r="AB36" s="260">
        <v>25.676169999999999</v>
      </c>
      <c r="AC36" s="260">
        <v>25.696493999999998</v>
      </c>
      <c r="AD36" s="260">
        <v>25.716714</v>
      </c>
      <c r="AE36" s="260">
        <v>25.736827999999999</v>
      </c>
      <c r="AF36" s="260">
        <v>25.756837999999998</v>
      </c>
      <c r="AG36" s="260">
        <v>25.776741999999999</v>
      </c>
      <c r="AH36" s="260">
        <v>25.796541999999999</v>
      </c>
      <c r="AI36" s="260">
        <v>25.816237999999998</v>
      </c>
      <c r="AJ36" s="260">
        <v>25.835829999999998</v>
      </c>
      <c r="AK36" s="260">
        <v>25.855316999999999</v>
      </c>
      <c r="AL36" s="260">
        <v>25.874700999999998</v>
      </c>
      <c r="AM36" s="260">
        <v>25.893979999999999</v>
      </c>
      <c r="AN36" s="260">
        <v>25.913156999999998</v>
      </c>
      <c r="AO36" s="260">
        <v>25.932230000000001</v>
      </c>
      <c r="AP36" s="260">
        <v>25.951198999999999</v>
      </c>
      <c r="AQ36" s="260">
        <v>25.970065999999999</v>
      </c>
      <c r="AR36" s="260">
        <v>25.988830999999998</v>
      </c>
      <c r="AS36" s="260">
        <v>26.007491999999999</v>
      </c>
      <c r="AT36" s="260">
        <v>26.026052</v>
      </c>
      <c r="AU36" s="260">
        <v>26.044508999999998</v>
      </c>
      <c r="AV36" s="260">
        <v>26.062864999999999</v>
      </c>
      <c r="AW36" s="260">
        <v>26.081118999999997</v>
      </c>
      <c r="AX36" s="260">
        <v>26.099270999999998</v>
      </c>
      <c r="AY36" s="260">
        <v>26.117322999999999</v>
      </c>
      <c r="AZ36" s="260">
        <v>26.135272999999998</v>
      </c>
      <c r="BA36" s="260">
        <v>26.153122999999997</v>
      </c>
      <c r="BB36" s="260">
        <v>26.170871999999999</v>
      </c>
      <c r="BC36" s="260">
        <v>26.188521999999999</v>
      </c>
      <c r="BD36" s="260">
        <v>26.206070999999998</v>
      </c>
      <c r="BE36" s="260">
        <v>26.223520999999998</v>
      </c>
      <c r="BF36" s="260">
        <v>26.240870999999999</v>
      </c>
      <c r="BG36" s="260">
        <v>26.258122</v>
      </c>
      <c r="BH36" s="260">
        <v>26.275274999999997</v>
      </c>
      <c r="BI36" s="260">
        <v>26.292328999999999</v>
      </c>
      <c r="BJ36" s="260">
        <v>26.309283999999998</v>
      </c>
      <c r="BK36" s="260">
        <v>26.326141</v>
      </c>
      <c r="BL36" s="260">
        <v>26.342900999999998</v>
      </c>
      <c r="BM36" s="260">
        <v>26.359562999999998</v>
      </c>
      <c r="BN36" s="260">
        <v>26.376127999999998</v>
      </c>
      <c r="BO36" s="260">
        <v>26.392596999999999</v>
      </c>
      <c r="BP36" s="260">
        <v>26.408967999999998</v>
      </c>
      <c r="BQ36" s="260">
        <v>26.425243999999999</v>
      </c>
      <c r="BR36" s="260">
        <v>26.441423</v>
      </c>
      <c r="BS36" s="260">
        <v>26.457507</v>
      </c>
      <c r="BT36" s="260">
        <v>26.473495</v>
      </c>
      <c r="BU36" s="260">
        <v>26.489387999999998</v>
      </c>
      <c r="BV36" s="260">
        <v>26.505186999999999</v>
      </c>
      <c r="BW36" s="260">
        <v>26.520890999999999</v>
      </c>
      <c r="BX36" s="260">
        <v>26.536500999999998</v>
      </c>
      <c r="BY36" s="260">
        <v>26.552016999999999</v>
      </c>
      <c r="BZ36" s="260">
        <v>26.567439</v>
      </c>
      <c r="CA36" s="260">
        <v>26.582768999999999</v>
      </c>
      <c r="CB36" s="260">
        <v>26.598005999999998</v>
      </c>
      <c r="CC36" s="260">
        <v>26.613149999999997</v>
      </c>
      <c r="CD36" s="260">
        <v>26.628201999999998</v>
      </c>
      <c r="CE36" s="260">
        <v>26.643162</v>
      </c>
      <c r="CF36" s="260">
        <v>26.658030999999998</v>
      </c>
      <c r="CG36" s="260">
        <v>26.672808999999997</v>
      </c>
      <c r="CH36" s="260">
        <v>26.687495999999999</v>
      </c>
    </row>
    <row r="37" spans="1:86" x14ac:dyDescent="0.25">
      <c r="A37" s="170">
        <v>1</v>
      </c>
      <c r="B37" s="170">
        <v>36</v>
      </c>
      <c r="C37" s="259">
        <v>25.132797241210938</v>
      </c>
      <c r="D37" s="259">
        <v>25.171092987060547</v>
      </c>
      <c r="E37" s="259">
        <v>25.208740234375</v>
      </c>
      <c r="F37" s="259">
        <v>25.245756149291992</v>
      </c>
      <c r="G37" s="259">
        <v>25.282150268554688</v>
      </c>
      <c r="H37" s="259">
        <v>25.317935943603516</v>
      </c>
      <c r="I37" s="260">
        <v>25.044625</v>
      </c>
      <c r="J37" s="260">
        <v>25.068038999999999</v>
      </c>
      <c r="K37" s="260">
        <v>25.091237</v>
      </c>
      <c r="L37" s="260">
        <v>25.114232999999999</v>
      </c>
      <c r="M37" s="260">
        <v>25.137038999999998</v>
      </c>
      <c r="N37" s="260">
        <v>25.159668999999997</v>
      </c>
      <c r="O37" s="260">
        <v>25.182134999999999</v>
      </c>
      <c r="P37" s="260">
        <v>25.204447999999999</v>
      </c>
      <c r="Q37" s="260">
        <v>25.226618999999999</v>
      </c>
      <c r="R37" s="260">
        <v>25.248656999999998</v>
      </c>
      <c r="S37" s="260">
        <v>25.270569999999999</v>
      </c>
      <c r="T37" s="260">
        <v>25.292365999999998</v>
      </c>
      <c r="U37" s="260">
        <v>25.314049999999998</v>
      </c>
      <c r="V37" s="260">
        <v>25.335625</v>
      </c>
      <c r="W37" s="260">
        <v>25.357092999999999</v>
      </c>
      <c r="X37" s="260">
        <v>25.378453</v>
      </c>
      <c r="Y37" s="260">
        <v>25.399706999999999</v>
      </c>
      <c r="Z37" s="260">
        <v>25.420852999999997</v>
      </c>
      <c r="AA37" s="260">
        <v>25.441891999999999</v>
      </c>
      <c r="AB37" s="260">
        <v>25.462824999999999</v>
      </c>
      <c r="AC37" s="260">
        <v>25.483649999999997</v>
      </c>
      <c r="AD37" s="260">
        <v>25.504369999999998</v>
      </c>
      <c r="AE37" s="260">
        <v>25.524981999999998</v>
      </c>
      <c r="AF37" s="260">
        <v>25.545489</v>
      </c>
      <c r="AG37" s="260">
        <v>25.565888999999999</v>
      </c>
      <c r="AH37" s="260">
        <v>25.586183999999999</v>
      </c>
      <c r="AI37" s="260">
        <v>25.606372</v>
      </c>
      <c r="AJ37" s="260">
        <v>25.626455</v>
      </c>
      <c r="AK37" s="260">
        <v>25.646431999999997</v>
      </c>
      <c r="AL37" s="260">
        <v>25.666304</v>
      </c>
      <c r="AM37" s="260">
        <v>25.686070999999998</v>
      </c>
      <c r="AN37" s="260">
        <v>25.705732999999999</v>
      </c>
      <c r="AO37" s="260">
        <v>25.725289999999998</v>
      </c>
      <c r="AP37" s="260">
        <v>25.744741999999999</v>
      </c>
      <c r="AQ37" s="260">
        <v>25.764089999999999</v>
      </c>
      <c r="AR37" s="260">
        <v>25.783332999999999</v>
      </c>
      <c r="AS37" s="260">
        <v>25.802472999999999</v>
      </c>
      <c r="AT37" s="260">
        <v>25.821508999999999</v>
      </c>
      <c r="AU37" s="260">
        <v>25.840440999999998</v>
      </c>
      <c r="AV37" s="260">
        <v>25.859268999999998</v>
      </c>
      <c r="AW37" s="260">
        <v>25.877994999999999</v>
      </c>
      <c r="AX37" s="260">
        <v>25.896616999999999</v>
      </c>
      <c r="AY37" s="260">
        <v>25.915136999999998</v>
      </c>
      <c r="AZ37" s="260">
        <v>25.933553999999997</v>
      </c>
      <c r="BA37" s="260">
        <v>25.951868999999999</v>
      </c>
      <c r="BB37" s="260">
        <v>25.970081999999998</v>
      </c>
      <c r="BC37" s="260">
        <v>25.988192999999999</v>
      </c>
      <c r="BD37" s="260">
        <v>26.006201999999998</v>
      </c>
      <c r="BE37" s="260">
        <v>26.02411</v>
      </c>
      <c r="BF37" s="260">
        <v>26.041916999999998</v>
      </c>
      <c r="BG37" s="260">
        <v>26.059622999999998</v>
      </c>
      <c r="BH37" s="260">
        <v>26.077227999999998</v>
      </c>
      <c r="BI37" s="260">
        <v>26.094732999999998</v>
      </c>
      <c r="BJ37" s="260">
        <v>26.112138999999999</v>
      </c>
      <c r="BK37" s="260">
        <v>26.129443999999999</v>
      </c>
      <c r="BL37" s="260">
        <v>26.146649999999998</v>
      </c>
      <c r="BM37" s="260">
        <v>26.163755999999999</v>
      </c>
      <c r="BN37" s="260">
        <v>26.180764</v>
      </c>
      <c r="BO37" s="260">
        <v>26.197672999999998</v>
      </c>
      <c r="BP37" s="260">
        <v>26.214483999999999</v>
      </c>
      <c r="BQ37" s="260">
        <v>26.231196999999998</v>
      </c>
      <c r="BR37" s="260">
        <v>26.247810999999999</v>
      </c>
      <c r="BS37" s="260">
        <v>26.264329</v>
      </c>
      <c r="BT37" s="260">
        <v>26.280749</v>
      </c>
      <c r="BU37" s="260">
        <v>26.297072</v>
      </c>
      <c r="BV37" s="260">
        <v>26.313298999999997</v>
      </c>
      <c r="BW37" s="260">
        <v>26.329429999999999</v>
      </c>
      <c r="BX37" s="260">
        <v>26.345464</v>
      </c>
      <c r="BY37" s="260">
        <v>26.361402999999999</v>
      </c>
      <c r="BZ37" s="260">
        <v>26.377247000000001</v>
      </c>
      <c r="CA37" s="260">
        <v>26.392996</v>
      </c>
      <c r="CB37" s="260">
        <v>26.408649999999998</v>
      </c>
      <c r="CC37" s="260">
        <v>26.424209999999999</v>
      </c>
      <c r="CD37" s="260">
        <v>26.439674999999998</v>
      </c>
      <c r="CE37" s="260">
        <v>26.455047</v>
      </c>
      <c r="CF37" s="260">
        <v>26.470326</v>
      </c>
      <c r="CG37" s="260">
        <v>26.485512</v>
      </c>
      <c r="CH37" s="260">
        <v>26.500605</v>
      </c>
    </row>
    <row r="38" spans="1:86" x14ac:dyDescent="0.25">
      <c r="A38" s="170">
        <v>1</v>
      </c>
      <c r="B38" s="170">
        <v>37</v>
      </c>
      <c r="C38" s="259">
        <v>24.883934020996094</v>
      </c>
      <c r="D38" s="259">
        <v>24.923425674438477</v>
      </c>
      <c r="E38" s="259">
        <v>24.962253570556641</v>
      </c>
      <c r="F38" s="259">
        <v>25.000431060791016</v>
      </c>
      <c r="G38" s="259">
        <v>25.037973403930664</v>
      </c>
      <c r="H38" s="259">
        <v>25.07489013671875</v>
      </c>
      <c r="I38" s="260">
        <v>24.814478999999999</v>
      </c>
      <c r="J38" s="260">
        <v>24.838428</v>
      </c>
      <c r="K38" s="260">
        <v>24.862158999999998</v>
      </c>
      <c r="L38" s="260">
        <v>24.885686</v>
      </c>
      <c r="M38" s="260">
        <v>24.909022999999998</v>
      </c>
      <c r="N38" s="260">
        <v>24.932182999999998</v>
      </c>
      <c r="O38" s="260">
        <v>24.955178999999998</v>
      </c>
      <c r="P38" s="260">
        <v>24.978020999999998</v>
      </c>
      <c r="Q38" s="260">
        <v>25.000719999999998</v>
      </c>
      <c r="R38" s="260">
        <v>25.023285999999999</v>
      </c>
      <c r="S38" s="260">
        <v>25.045726999999999</v>
      </c>
      <c r="T38" s="260">
        <v>25.068049999999999</v>
      </c>
      <c r="U38" s="260">
        <v>25.090259</v>
      </c>
      <c r="V38" s="260">
        <v>25.112358999999998</v>
      </c>
      <c r="W38" s="260">
        <v>25.134349999999998</v>
      </c>
      <c r="X38" s="260">
        <v>25.156231999999999</v>
      </c>
      <c r="Y38" s="260">
        <v>25.178006</v>
      </c>
      <c r="Z38" s="260">
        <v>25.199672</v>
      </c>
      <c r="AA38" s="260">
        <v>25.221228999999997</v>
      </c>
      <c r="AB38" s="260">
        <v>25.242677999999998</v>
      </c>
      <c r="AC38" s="260">
        <v>25.264019999999999</v>
      </c>
      <c r="AD38" s="260">
        <v>25.285252999999997</v>
      </c>
      <c r="AE38" s="260">
        <v>25.306379</v>
      </c>
      <c r="AF38" s="260">
        <v>25.327396</v>
      </c>
      <c r="AG38" s="260">
        <v>25.348306999999998</v>
      </c>
      <c r="AH38" s="260">
        <v>25.369109999999999</v>
      </c>
      <c r="AI38" s="260">
        <v>25.389804999999999</v>
      </c>
      <c r="AJ38" s="260">
        <v>25.410394</v>
      </c>
      <c r="AK38" s="260">
        <v>25.430875</v>
      </c>
      <c r="AL38" s="260">
        <v>25.451249999999998</v>
      </c>
      <c r="AM38" s="260">
        <v>25.471518</v>
      </c>
      <c r="AN38" s="260">
        <v>25.491678999999998</v>
      </c>
      <c r="AO38" s="260">
        <v>25.511734999999998</v>
      </c>
      <c r="AP38" s="260">
        <v>25.531683999999998</v>
      </c>
      <c r="AQ38" s="260">
        <v>25.551527</v>
      </c>
      <c r="AR38" s="260">
        <v>25.571263999999999</v>
      </c>
      <c r="AS38" s="260">
        <v>25.590895</v>
      </c>
      <c r="AT38" s="260">
        <v>25.610420999999999</v>
      </c>
      <c r="AU38" s="260">
        <v>25.629842</v>
      </c>
      <c r="AV38" s="260">
        <v>25.649158</v>
      </c>
      <c r="AW38" s="260">
        <v>25.668368999999998</v>
      </c>
      <c r="AX38" s="260">
        <v>25.687474999999999</v>
      </c>
      <c r="AY38" s="260">
        <v>25.706477</v>
      </c>
      <c r="AZ38" s="260">
        <v>25.725375</v>
      </c>
      <c r="BA38" s="260">
        <v>25.744167999999998</v>
      </c>
      <c r="BB38" s="260">
        <v>25.762857999999998</v>
      </c>
      <c r="BC38" s="260">
        <v>25.781444999999998</v>
      </c>
      <c r="BD38" s="260">
        <v>25.799927999999998</v>
      </c>
      <c r="BE38" s="260">
        <v>25.818307999999998</v>
      </c>
      <c r="BF38" s="260">
        <v>25.836584999999999</v>
      </c>
      <c r="BG38" s="260">
        <v>25.854759999999999</v>
      </c>
      <c r="BH38" s="260">
        <v>25.872831999999999</v>
      </c>
      <c r="BI38" s="260">
        <v>25.890801999999997</v>
      </c>
      <c r="BJ38" s="260">
        <v>25.908670999999998</v>
      </c>
      <c r="BK38" s="260">
        <v>25.926437999999997</v>
      </c>
      <c r="BL38" s="260">
        <v>25.944102999999998</v>
      </c>
      <c r="BM38" s="260">
        <v>25.961668</v>
      </c>
      <c r="BN38" s="260">
        <v>25.979132</v>
      </c>
      <c r="BO38" s="260">
        <v>25.996494999999999</v>
      </c>
      <c r="BP38" s="260">
        <v>26.013757999999999</v>
      </c>
      <c r="BQ38" s="260">
        <v>26.030922</v>
      </c>
      <c r="BR38" s="260">
        <v>26.047984999999997</v>
      </c>
      <c r="BS38" s="260">
        <v>26.06495</v>
      </c>
      <c r="BT38" s="260">
        <v>26.081814999999999</v>
      </c>
      <c r="BU38" s="260">
        <v>26.098582</v>
      </c>
      <c r="BV38" s="260">
        <v>26.11525</v>
      </c>
      <c r="BW38" s="260">
        <v>26.131820999999999</v>
      </c>
      <c r="BX38" s="260">
        <v>26.148292999999999</v>
      </c>
      <c r="BY38" s="260">
        <v>26.164667999999999</v>
      </c>
      <c r="BZ38" s="260">
        <v>26.180945999999999</v>
      </c>
      <c r="CA38" s="260">
        <v>26.197126999999998</v>
      </c>
      <c r="CB38" s="260">
        <v>26.213210999999998</v>
      </c>
      <c r="CC38" s="260">
        <v>26.229198999999998</v>
      </c>
      <c r="CD38" s="260">
        <v>26.245090999999999</v>
      </c>
      <c r="CE38" s="260">
        <v>26.260887999999998</v>
      </c>
      <c r="CF38" s="260">
        <v>26.276589999999999</v>
      </c>
      <c r="CG38" s="260">
        <v>26.292196000000001</v>
      </c>
      <c r="CH38" s="260">
        <v>26.307707999999998</v>
      </c>
    </row>
    <row r="39" spans="1:86" x14ac:dyDescent="0.25">
      <c r="A39" s="170">
        <v>1</v>
      </c>
      <c r="B39" s="170">
        <v>38</v>
      </c>
      <c r="C39" s="259">
        <v>24.627296447753906</v>
      </c>
      <c r="D39" s="259">
        <v>24.668010711669922</v>
      </c>
      <c r="E39" s="259">
        <v>24.708044052124023</v>
      </c>
      <c r="F39" s="259">
        <v>24.747411727905273</v>
      </c>
      <c r="G39" s="259">
        <v>24.786125183105469</v>
      </c>
      <c r="H39" s="259">
        <v>24.824197769165039</v>
      </c>
      <c r="I39" s="260">
        <v>24.577241999999998</v>
      </c>
      <c r="J39" s="260">
        <v>24.601747</v>
      </c>
      <c r="K39" s="260">
        <v>24.62603</v>
      </c>
      <c r="L39" s="260">
        <v>24.650105999999997</v>
      </c>
      <c r="M39" s="260">
        <v>24.673990999999997</v>
      </c>
      <c r="N39" s="260">
        <v>24.697696000000001</v>
      </c>
      <c r="O39" s="260">
        <v>24.721235999999998</v>
      </c>
      <c r="P39" s="260">
        <v>24.744620999999999</v>
      </c>
      <c r="Q39" s="260">
        <v>24.767862999999998</v>
      </c>
      <c r="R39" s="260">
        <v>24.790969999999998</v>
      </c>
      <c r="S39" s="260">
        <v>24.813952</v>
      </c>
      <c r="T39" s="260">
        <v>24.836814</v>
      </c>
      <c r="U39" s="260">
        <v>24.859562</v>
      </c>
      <c r="V39" s="260">
        <v>24.882199</v>
      </c>
      <c r="W39" s="260">
        <v>24.904726</v>
      </c>
      <c r="X39" s="260">
        <v>24.927142999999997</v>
      </c>
      <c r="Y39" s="260">
        <v>24.949451</v>
      </c>
      <c r="Z39" s="260">
        <v>24.971648999999999</v>
      </c>
      <c r="AA39" s="260">
        <v>24.993738</v>
      </c>
      <c r="AB39" s="260">
        <v>25.015716999999999</v>
      </c>
      <c r="AC39" s="260">
        <v>25.037585999999997</v>
      </c>
      <c r="AD39" s="260">
        <v>25.059346999999999</v>
      </c>
      <c r="AE39" s="260">
        <v>25.080997999999997</v>
      </c>
      <c r="AF39" s="260">
        <v>25.102539999999998</v>
      </c>
      <c r="AG39" s="260">
        <v>25.123974</v>
      </c>
      <c r="AH39" s="260">
        <v>25.145298</v>
      </c>
      <c r="AI39" s="260">
        <v>25.166513999999999</v>
      </c>
      <c r="AJ39" s="260">
        <v>25.187621</v>
      </c>
      <c r="AK39" s="260">
        <v>25.20862</v>
      </c>
      <c r="AL39" s="260">
        <v>25.229509999999998</v>
      </c>
      <c r="AM39" s="260">
        <v>25.250291999999998</v>
      </c>
      <c r="AN39" s="260">
        <v>25.270966999999999</v>
      </c>
      <c r="AO39" s="260">
        <v>25.291532999999998</v>
      </c>
      <c r="AP39" s="260">
        <v>25.311992</v>
      </c>
      <c r="AQ39" s="260">
        <v>25.332342999999998</v>
      </c>
      <c r="AR39" s="260">
        <v>25.352585999999999</v>
      </c>
      <c r="AS39" s="260">
        <v>25.372723000000001</v>
      </c>
      <c r="AT39" s="260">
        <v>25.392751999999998</v>
      </c>
      <c r="AU39" s="260">
        <v>25.412673999999999</v>
      </c>
      <c r="AV39" s="260">
        <v>25.432489999999998</v>
      </c>
      <c r="AW39" s="260">
        <v>25.452199999999998</v>
      </c>
      <c r="AX39" s="260">
        <v>25.471802999999998</v>
      </c>
      <c r="AY39" s="260">
        <v>25.491299999999999</v>
      </c>
      <c r="AZ39" s="260">
        <v>25.510690999999998</v>
      </c>
      <c r="BA39" s="260">
        <v>25.529975999999998</v>
      </c>
      <c r="BB39" s="260">
        <v>25.549156</v>
      </c>
      <c r="BC39" s="260">
        <v>25.568230999999997</v>
      </c>
      <c r="BD39" s="260">
        <v>25.587199999999999</v>
      </c>
      <c r="BE39" s="260">
        <v>25.606064999999997</v>
      </c>
      <c r="BF39" s="260">
        <v>25.624824999999998</v>
      </c>
      <c r="BG39" s="260">
        <v>25.643480999999998</v>
      </c>
      <c r="BH39" s="260">
        <v>25.662032999999997</v>
      </c>
      <c r="BI39" s="260">
        <v>25.680481</v>
      </c>
      <c r="BJ39" s="260">
        <v>25.698826</v>
      </c>
      <c r="BK39" s="260">
        <v>25.717067</v>
      </c>
      <c r="BL39" s="260">
        <v>25.735205000000001</v>
      </c>
      <c r="BM39" s="260">
        <v>25.753239999999998</v>
      </c>
      <c r="BN39" s="260">
        <v>25.771172</v>
      </c>
      <c r="BO39" s="260">
        <v>25.789002999999997</v>
      </c>
      <c r="BP39" s="260">
        <v>25.806730999999999</v>
      </c>
      <c r="BQ39" s="260">
        <v>25.824358</v>
      </c>
      <c r="BR39" s="260">
        <v>25.841882999999999</v>
      </c>
      <c r="BS39" s="260">
        <v>25.859306999999998</v>
      </c>
      <c r="BT39" s="260">
        <v>25.876629999999999</v>
      </c>
      <c r="BU39" s="260">
        <v>25.893851999999999</v>
      </c>
      <c r="BV39" s="260">
        <v>25.910975000000001</v>
      </c>
      <c r="BW39" s="260">
        <v>25.927996999999998</v>
      </c>
      <c r="BX39" s="260">
        <v>25.944918999999999</v>
      </c>
      <c r="BY39" s="260">
        <v>25.961741999999997</v>
      </c>
      <c r="BZ39" s="260">
        <v>25.978465999999997</v>
      </c>
      <c r="CA39" s="260">
        <v>25.995092</v>
      </c>
      <c r="CB39" s="260">
        <v>26.011619</v>
      </c>
      <c r="CC39" s="260">
        <v>26.028046999999997</v>
      </c>
      <c r="CD39" s="260">
        <v>26.044377999999998</v>
      </c>
      <c r="CE39" s="260">
        <v>26.060611999999999</v>
      </c>
      <c r="CF39" s="260">
        <v>26.076747999999998</v>
      </c>
      <c r="CG39" s="260">
        <v>26.092786999999998</v>
      </c>
      <c r="CH39" s="260">
        <v>26.108729999999998</v>
      </c>
    </row>
    <row r="40" spans="1:86" x14ac:dyDescent="0.25">
      <c r="A40" s="170">
        <v>1</v>
      </c>
      <c r="B40" s="170">
        <v>39</v>
      </c>
      <c r="C40" s="259">
        <v>24.362533569335938</v>
      </c>
      <c r="D40" s="259">
        <v>24.404495239257813</v>
      </c>
      <c r="E40" s="259">
        <v>24.445764541625977</v>
      </c>
      <c r="F40" s="259">
        <v>24.486349105834961</v>
      </c>
      <c r="G40" s="259">
        <v>24.526262283325195</v>
      </c>
      <c r="H40" s="259">
        <v>24.565519332885742</v>
      </c>
      <c r="I40" s="260">
        <v>24.332967999999997</v>
      </c>
      <c r="J40" s="260">
        <v>24.358046999999999</v>
      </c>
      <c r="K40" s="260">
        <v>24.382898999999998</v>
      </c>
      <c r="L40" s="260">
        <v>24.407539999999997</v>
      </c>
      <c r="M40" s="260">
        <v>24.431985999999998</v>
      </c>
      <c r="N40" s="260">
        <v>24.456249999999997</v>
      </c>
      <c r="O40" s="260">
        <v>24.480346999999998</v>
      </c>
      <c r="P40" s="260">
        <v>24.504286999999998</v>
      </c>
      <c r="Q40" s="260">
        <v>24.528082999999999</v>
      </c>
      <c r="R40" s="260">
        <v>24.551742999999998</v>
      </c>
      <c r="S40" s="260">
        <v>24.575275999999999</v>
      </c>
      <c r="T40" s="260">
        <v>24.598689</v>
      </c>
      <c r="U40" s="260">
        <v>24.621986999999997</v>
      </c>
      <c r="V40" s="260">
        <v>24.645171999999999</v>
      </c>
      <c r="W40" s="260">
        <v>24.668246999999997</v>
      </c>
      <c r="X40" s="260">
        <v>24.691209999999998</v>
      </c>
      <c r="Y40" s="260">
        <v>24.714062999999999</v>
      </c>
      <c r="Z40" s="260">
        <v>24.736803999999999</v>
      </c>
      <c r="AA40" s="260">
        <v>24.759435</v>
      </c>
      <c r="AB40" s="260">
        <v>24.781955</v>
      </c>
      <c r="AC40" s="260">
        <v>24.804364999999997</v>
      </c>
      <c r="AD40" s="260">
        <v>24.826663999999997</v>
      </c>
      <c r="AE40" s="260">
        <v>24.848851999999997</v>
      </c>
      <c r="AF40" s="260">
        <v>24.870929999999998</v>
      </c>
      <c r="AG40" s="260">
        <v>24.892897999999999</v>
      </c>
      <c r="AH40" s="260">
        <v>24.914755</v>
      </c>
      <c r="AI40" s="260">
        <v>24.936501999999997</v>
      </c>
      <c r="AJ40" s="260">
        <v>24.95814</v>
      </c>
      <c r="AK40" s="260">
        <v>24.979666999999999</v>
      </c>
      <c r="AL40" s="260">
        <v>25.001083999999999</v>
      </c>
      <c r="AM40" s="260">
        <v>25.022392</v>
      </c>
      <c r="AN40" s="260">
        <v>25.043589999999998</v>
      </c>
      <c r="AO40" s="260">
        <v>25.064678999999998</v>
      </c>
      <c r="AP40" s="260">
        <v>25.085659</v>
      </c>
      <c r="AQ40" s="260">
        <v>25.106529999999999</v>
      </c>
      <c r="AR40" s="260">
        <v>25.127291</v>
      </c>
      <c r="AS40" s="260">
        <v>25.147943999999999</v>
      </c>
      <c r="AT40" s="260">
        <v>25.168488</v>
      </c>
      <c r="AU40" s="260">
        <v>25.188924</v>
      </c>
      <c r="AV40" s="260">
        <v>25.209250999999998</v>
      </c>
      <c r="AW40" s="260">
        <v>25.229469999999999</v>
      </c>
      <c r="AX40" s="260">
        <v>25.249582</v>
      </c>
      <c r="AY40" s="260">
        <v>25.269584999999999</v>
      </c>
      <c r="AZ40" s="260">
        <v>25.289480999999999</v>
      </c>
      <c r="BA40" s="260">
        <v>25.309269999999998</v>
      </c>
      <c r="BB40" s="260">
        <v>25.328951</v>
      </c>
      <c r="BC40" s="260">
        <v>25.348524999999999</v>
      </c>
      <c r="BD40" s="260">
        <v>25.367992999999998</v>
      </c>
      <c r="BE40" s="260">
        <v>25.387353999999998</v>
      </c>
      <c r="BF40" s="260">
        <v>25.406609</v>
      </c>
      <c r="BG40" s="260">
        <v>25.425757999999998</v>
      </c>
      <c r="BH40" s="260">
        <v>25.444800999999998</v>
      </c>
      <c r="BI40" s="260">
        <v>25.463737999999999</v>
      </c>
      <c r="BJ40" s="260">
        <v>25.482569999999999</v>
      </c>
      <c r="BK40" s="260">
        <v>25.501296</v>
      </c>
      <c r="BL40" s="260">
        <v>25.519918000000001</v>
      </c>
      <c r="BM40" s="260">
        <v>25.538435</v>
      </c>
      <c r="BN40" s="260">
        <v>25.556847999999999</v>
      </c>
      <c r="BO40" s="260">
        <v>25.575156999999997</v>
      </c>
      <c r="BP40" s="260">
        <v>25.593360999999998</v>
      </c>
      <c r="BQ40" s="260">
        <v>25.611463000000001</v>
      </c>
      <c r="BR40" s="260">
        <v>25.629460999999999</v>
      </c>
      <c r="BS40" s="260">
        <v>25.647354999999997</v>
      </c>
      <c r="BT40" s="260">
        <v>25.665146999999997</v>
      </c>
      <c r="BU40" s="260">
        <v>25.682836999999999</v>
      </c>
      <c r="BV40" s="260">
        <v>25.700423999999998</v>
      </c>
      <c r="BW40" s="260">
        <v>25.71791</v>
      </c>
      <c r="BX40" s="260">
        <v>25.735294</v>
      </c>
      <c r="BY40" s="260">
        <v>25.752575999999998</v>
      </c>
      <c r="BZ40" s="260">
        <v>25.769757999999999</v>
      </c>
      <c r="CA40" s="260">
        <v>25.786839000000001</v>
      </c>
      <c r="CB40" s="260">
        <v>25.803818999999997</v>
      </c>
      <c r="CC40" s="260">
        <v>25.820699999999999</v>
      </c>
      <c r="CD40" s="260">
        <v>25.837481</v>
      </c>
      <c r="CE40" s="260">
        <v>25.854161999999999</v>
      </c>
      <c r="CF40" s="260">
        <v>25.870743999999998</v>
      </c>
      <c r="CG40" s="260">
        <v>25.887228</v>
      </c>
      <c r="CH40" s="260">
        <v>25.903611999999999</v>
      </c>
    </row>
    <row r="41" spans="1:86" x14ac:dyDescent="0.25">
      <c r="A41" s="170">
        <v>1</v>
      </c>
      <c r="B41" s="170">
        <v>40</v>
      </c>
      <c r="C41" s="259">
        <v>24.089357376098633</v>
      </c>
      <c r="D41" s="259">
        <v>24.132600784301758</v>
      </c>
      <c r="E41" s="259">
        <v>24.175132751464844</v>
      </c>
      <c r="F41" s="259">
        <v>24.216964721679688</v>
      </c>
      <c r="G41" s="259">
        <v>24.258108139038086</v>
      </c>
      <c r="H41" s="259">
        <v>24.298578262329102</v>
      </c>
      <c r="I41" s="260">
        <v>24.081661999999998</v>
      </c>
      <c r="J41" s="260">
        <v>24.107333000000001</v>
      </c>
      <c r="K41" s="260">
        <v>24.132769999999997</v>
      </c>
      <c r="L41" s="260">
        <v>24.157989999999998</v>
      </c>
      <c r="M41" s="260">
        <v>24.183009999999999</v>
      </c>
      <c r="N41" s="260">
        <v>24.207844999999999</v>
      </c>
      <c r="O41" s="260">
        <v>24.232509</v>
      </c>
      <c r="P41" s="260">
        <v>24.257014999999999</v>
      </c>
      <c r="Q41" s="260">
        <v>24.281375000000001</v>
      </c>
      <c r="R41" s="260">
        <v>24.305598</v>
      </c>
      <c r="S41" s="260">
        <v>24.329692999999999</v>
      </c>
      <c r="T41" s="260">
        <v>24.353666</v>
      </c>
      <c r="U41" s="260">
        <v>24.377521999999999</v>
      </c>
      <c r="V41" s="260">
        <v>24.401266</v>
      </c>
      <c r="W41" s="260">
        <v>24.424896999999998</v>
      </c>
      <c r="X41" s="260">
        <v>24.448415999999998</v>
      </c>
      <c r="Y41" s="260">
        <v>24.471823000000001</v>
      </c>
      <c r="Z41" s="260">
        <v>24.495117999999998</v>
      </c>
      <c r="AA41" s="260">
        <v>24.518300999999997</v>
      </c>
      <c r="AB41" s="260">
        <v>24.541371999999999</v>
      </c>
      <c r="AC41" s="260">
        <v>24.564330999999999</v>
      </c>
      <c r="AD41" s="260">
        <v>24.587177999999998</v>
      </c>
      <c r="AE41" s="260">
        <v>24.609914</v>
      </c>
      <c r="AF41" s="260">
        <v>24.632536999999999</v>
      </c>
      <c r="AG41" s="260">
        <v>24.655048999999998</v>
      </c>
      <c r="AH41" s="260">
        <v>24.677448999999999</v>
      </c>
      <c r="AI41" s="260">
        <v>24.699738</v>
      </c>
      <c r="AJ41" s="260">
        <v>24.721914999999999</v>
      </c>
      <c r="AK41" s="260">
        <v>24.743980999999998</v>
      </c>
      <c r="AL41" s="260">
        <v>24.765936</v>
      </c>
      <c r="AM41" s="260">
        <v>24.787779999999998</v>
      </c>
      <c r="AN41" s="260">
        <v>24.809511999999998</v>
      </c>
      <c r="AO41" s="260">
        <v>24.831133999999999</v>
      </c>
      <c r="AP41" s="260">
        <v>24.852644999999999</v>
      </c>
      <c r="AQ41" s="260">
        <v>24.874044999999999</v>
      </c>
      <c r="AR41" s="260">
        <v>24.895334999999999</v>
      </c>
      <c r="AS41" s="260">
        <v>24.916513999999999</v>
      </c>
      <c r="AT41" s="260">
        <v>24.937583999999998</v>
      </c>
      <c r="AU41" s="260">
        <v>24.958542999999999</v>
      </c>
      <c r="AV41" s="260">
        <v>24.979391999999997</v>
      </c>
      <c r="AW41" s="260">
        <v>25.000131</v>
      </c>
      <c r="AX41" s="260">
        <v>25.020761</v>
      </c>
      <c r="AY41" s="260">
        <v>25.041281999999999</v>
      </c>
      <c r="AZ41" s="260">
        <v>25.061692999999998</v>
      </c>
      <c r="BA41" s="260">
        <v>25.081994999999999</v>
      </c>
      <c r="BB41" s="260">
        <v>25.102187999999998</v>
      </c>
      <c r="BC41" s="260">
        <v>25.122273</v>
      </c>
      <c r="BD41" s="260">
        <v>25.142249</v>
      </c>
      <c r="BE41" s="260">
        <v>25.162116999999999</v>
      </c>
      <c r="BF41" s="260">
        <v>25.181877</v>
      </c>
      <c r="BG41" s="260">
        <v>25.201528999999997</v>
      </c>
      <c r="BH41" s="260">
        <v>25.221073000000001</v>
      </c>
      <c r="BI41" s="260">
        <v>25.24051</v>
      </c>
      <c r="BJ41" s="260">
        <v>25.259840000000001</v>
      </c>
      <c r="BK41" s="260">
        <v>25.279062999999997</v>
      </c>
      <c r="BL41" s="260">
        <v>25.298178999999998</v>
      </c>
      <c r="BM41" s="260">
        <v>25.317188999999999</v>
      </c>
      <c r="BN41" s="260">
        <v>25.336091999999997</v>
      </c>
      <c r="BO41" s="260">
        <v>25.354889</v>
      </c>
      <c r="BP41" s="260">
        <v>25.373580999999998</v>
      </c>
      <c r="BQ41" s="260">
        <v>25.392167000000001</v>
      </c>
      <c r="BR41" s="260">
        <v>25.410648999999999</v>
      </c>
      <c r="BS41" s="260">
        <v>25.429024999999999</v>
      </c>
      <c r="BT41" s="260">
        <v>25.447295999999998</v>
      </c>
      <c r="BU41" s="260">
        <v>25.465463</v>
      </c>
      <c r="BV41" s="260">
        <v>25.483526999999999</v>
      </c>
      <c r="BW41" s="260">
        <v>25.501486</v>
      </c>
      <c r="BX41" s="260">
        <v>25.519341999999998</v>
      </c>
      <c r="BY41" s="260">
        <v>25.537094</v>
      </c>
      <c r="BZ41" s="260">
        <v>25.554743999999999</v>
      </c>
      <c r="CA41" s="260">
        <v>25.572291</v>
      </c>
      <c r="CB41" s="260">
        <v>25.589734999999997</v>
      </c>
      <c r="CC41" s="260">
        <v>25.607077999999998</v>
      </c>
      <c r="CD41" s="260">
        <v>25.624319</v>
      </c>
      <c r="CE41" s="260">
        <v>25.641458</v>
      </c>
      <c r="CF41" s="260">
        <v>25.658497000000001</v>
      </c>
      <c r="CG41" s="260">
        <v>25.675433999999999</v>
      </c>
      <c r="CH41" s="260">
        <v>25.692271999999999</v>
      </c>
    </row>
    <row r="42" spans="1:86" x14ac:dyDescent="0.25">
      <c r="A42" s="170">
        <v>1</v>
      </c>
      <c r="B42" s="170">
        <v>41</v>
      </c>
      <c r="C42" s="259">
        <v>23.807033538818359</v>
      </c>
      <c r="D42" s="259">
        <v>23.85151481628418</v>
      </c>
      <c r="E42" s="259">
        <v>23.895271301269531</v>
      </c>
      <c r="F42" s="259">
        <v>23.938312530517578</v>
      </c>
      <c r="G42" s="259">
        <v>23.980655670166016</v>
      </c>
      <c r="H42" s="259">
        <v>24.022312164306641</v>
      </c>
      <c r="I42" s="260">
        <v>23.823100999999998</v>
      </c>
      <c r="J42" s="260">
        <v>23.849384000000001</v>
      </c>
      <c r="K42" s="260">
        <v>23.875422999999998</v>
      </c>
      <c r="L42" s="260">
        <v>23.901236999999998</v>
      </c>
      <c r="M42" s="260">
        <v>23.926845</v>
      </c>
      <c r="N42" s="260">
        <v>23.952262999999999</v>
      </c>
      <c r="O42" s="260">
        <v>23.977506999999999</v>
      </c>
      <c r="P42" s="260">
        <v>24.002589999999998</v>
      </c>
      <c r="Q42" s="260">
        <v>24.027524</v>
      </c>
      <c r="R42" s="260">
        <v>24.052319999999998</v>
      </c>
      <c r="S42" s="260">
        <v>24.076985999999998</v>
      </c>
      <c r="T42" s="260">
        <v>24.101528999999999</v>
      </c>
      <c r="U42" s="260">
        <v>24.125954</v>
      </c>
      <c r="V42" s="260">
        <v>24.150265999999998</v>
      </c>
      <c r="W42" s="260">
        <v>24.174464</v>
      </c>
      <c r="X42" s="260">
        <v>24.198547999999999</v>
      </c>
      <c r="Y42" s="260">
        <v>24.222519999999999</v>
      </c>
      <c r="Z42" s="260">
        <v>24.246378</v>
      </c>
      <c r="AA42" s="260">
        <v>24.270122999999998</v>
      </c>
      <c r="AB42" s="260">
        <v>24.293754999999997</v>
      </c>
      <c r="AC42" s="260">
        <v>24.317273999999998</v>
      </c>
      <c r="AD42" s="260">
        <v>24.340678999999998</v>
      </c>
      <c r="AE42" s="260">
        <v>24.363972</v>
      </c>
      <c r="AF42" s="260">
        <v>24.387150999999999</v>
      </c>
      <c r="AG42" s="260">
        <v>24.410216999999999</v>
      </c>
      <c r="AH42" s="260">
        <v>24.433170999999998</v>
      </c>
      <c r="AI42" s="260">
        <v>24.456011</v>
      </c>
      <c r="AJ42" s="260">
        <v>24.478738999999997</v>
      </c>
      <c r="AK42" s="260">
        <v>24.501353999999999</v>
      </c>
      <c r="AL42" s="260">
        <v>24.523857</v>
      </c>
      <c r="AM42" s="260">
        <v>24.546246</v>
      </c>
      <c r="AN42" s="260">
        <v>24.568524</v>
      </c>
      <c r="AO42" s="260">
        <v>24.590688999999998</v>
      </c>
      <c r="AP42" s="260">
        <v>24.612741</v>
      </c>
      <c r="AQ42" s="260">
        <v>24.634681999999998</v>
      </c>
      <c r="AR42" s="260">
        <v>24.656510999999998</v>
      </c>
      <c r="AS42" s="260">
        <v>24.678227</v>
      </c>
      <c r="AT42" s="260">
        <v>24.699831999999997</v>
      </c>
      <c r="AU42" s="260">
        <v>24.721325</v>
      </c>
      <c r="AV42" s="260">
        <v>24.742706999999999</v>
      </c>
      <c r="AW42" s="260">
        <v>24.763977000000001</v>
      </c>
      <c r="AX42" s="260">
        <v>24.785136999999999</v>
      </c>
      <c r="AY42" s="260">
        <v>24.806184999999999</v>
      </c>
      <c r="AZ42" s="260">
        <v>24.827121999999999</v>
      </c>
      <c r="BA42" s="260">
        <v>24.847947999999999</v>
      </c>
      <c r="BB42" s="260">
        <v>24.868663999999999</v>
      </c>
      <c r="BC42" s="260">
        <v>24.88927</v>
      </c>
      <c r="BD42" s="260">
        <v>24.909765</v>
      </c>
      <c r="BE42" s="260">
        <v>24.930150999999999</v>
      </c>
      <c r="BF42" s="260">
        <v>24.950426</v>
      </c>
      <c r="BG42" s="260">
        <v>24.970592</v>
      </c>
      <c r="BH42" s="260">
        <v>24.990648999999998</v>
      </c>
      <c r="BI42" s="260">
        <v>25.010596</v>
      </c>
      <c r="BJ42" s="260">
        <v>25.030434999999997</v>
      </c>
      <c r="BK42" s="260">
        <v>25.050163999999999</v>
      </c>
      <c r="BL42" s="260">
        <v>25.069786000000001</v>
      </c>
      <c r="BM42" s="260">
        <v>25.089297999999999</v>
      </c>
      <c r="BN42" s="260">
        <v>25.108702999999998</v>
      </c>
      <c r="BO42" s="260">
        <v>25.128</v>
      </c>
      <c r="BP42" s="260">
        <v>25.147189999999998</v>
      </c>
      <c r="BQ42" s="260">
        <v>25.166271999999999</v>
      </c>
      <c r="BR42" s="260">
        <v>25.185247</v>
      </c>
      <c r="BS42" s="260">
        <v>25.204114999999998</v>
      </c>
      <c r="BT42" s="260">
        <v>25.222877</v>
      </c>
      <c r="BU42" s="260">
        <v>25.241533</v>
      </c>
      <c r="BV42" s="260">
        <v>25.260082000000001</v>
      </c>
      <c r="BW42" s="260">
        <v>25.278525999999999</v>
      </c>
      <c r="BX42" s="260">
        <v>25.296863999999999</v>
      </c>
      <c r="BY42" s="260">
        <v>25.315096999999998</v>
      </c>
      <c r="BZ42" s="260">
        <v>25.333226</v>
      </c>
      <c r="CA42" s="260">
        <v>25.35125</v>
      </c>
      <c r="CB42" s="260">
        <v>25.369168999999999</v>
      </c>
      <c r="CC42" s="260">
        <v>25.386984999999999</v>
      </c>
      <c r="CD42" s="260">
        <v>25.404695999999998</v>
      </c>
      <c r="CE42" s="260">
        <v>25.422304999999998</v>
      </c>
      <c r="CF42" s="260">
        <v>25.439809999999998</v>
      </c>
      <c r="CG42" s="260">
        <v>25.457212999999999</v>
      </c>
      <c r="CH42" s="260">
        <v>25.474512999999998</v>
      </c>
    </row>
    <row r="43" spans="1:86" x14ac:dyDescent="0.25">
      <c r="A43" s="170">
        <v>1</v>
      </c>
      <c r="B43" s="170">
        <v>42</v>
      </c>
      <c r="C43" s="259">
        <v>23.516075134277344</v>
      </c>
      <c r="D43" s="259">
        <v>23.561809539794922</v>
      </c>
      <c r="E43" s="259">
        <v>23.606803894042969</v>
      </c>
      <c r="F43" s="259">
        <v>23.651071548461914</v>
      </c>
      <c r="G43" s="259">
        <v>23.694629669189453</v>
      </c>
      <c r="H43" s="259">
        <v>23.73748779296875</v>
      </c>
      <c r="I43" s="260">
        <v>23.557116999999998</v>
      </c>
      <c r="J43" s="260">
        <v>23.584031</v>
      </c>
      <c r="K43" s="260">
        <v>23.610689000000001</v>
      </c>
      <c r="L43" s="260">
        <v>23.637112999999999</v>
      </c>
      <c r="M43" s="260">
        <v>23.663322999999998</v>
      </c>
      <c r="N43" s="260">
        <v>23.689336999999998</v>
      </c>
      <c r="O43" s="260">
        <v>23.715171999999999</v>
      </c>
      <c r="P43" s="260">
        <v>23.740842000000001</v>
      </c>
      <c r="Q43" s="260">
        <v>23.766361</v>
      </c>
      <c r="R43" s="260">
        <v>23.791739</v>
      </c>
      <c r="S43" s="260">
        <v>23.816986</v>
      </c>
      <c r="T43" s="260">
        <v>23.842109000000001</v>
      </c>
      <c r="U43" s="260">
        <v>23.867113</v>
      </c>
      <c r="V43" s="260">
        <v>23.892001</v>
      </c>
      <c r="W43" s="260">
        <v>23.916775999999999</v>
      </c>
      <c r="X43" s="260">
        <v>23.941435999999999</v>
      </c>
      <c r="Y43" s="260">
        <v>23.965980999999999</v>
      </c>
      <c r="Z43" s="260">
        <v>23.990413</v>
      </c>
      <c r="AA43" s="260">
        <v>24.01473</v>
      </c>
      <c r="AB43" s="260">
        <v>24.038931999999999</v>
      </c>
      <c r="AC43" s="260">
        <v>24.063020999999999</v>
      </c>
      <c r="AD43" s="260">
        <v>24.086994999999998</v>
      </c>
      <c r="AE43" s="260">
        <v>24.110854</v>
      </c>
      <c r="AF43" s="260">
        <v>24.134599999999999</v>
      </c>
      <c r="AG43" s="260">
        <v>24.158231000000001</v>
      </c>
      <c r="AH43" s="260">
        <v>24.181746999999998</v>
      </c>
      <c r="AI43" s="260">
        <v>24.20515</v>
      </c>
      <c r="AJ43" s="260">
        <v>24.228438000000001</v>
      </c>
      <c r="AK43" s="260">
        <v>24.251612999999999</v>
      </c>
      <c r="AL43" s="260">
        <v>24.274673</v>
      </c>
      <c r="AM43" s="260">
        <v>24.297619999999998</v>
      </c>
      <c r="AN43" s="260">
        <v>24.320452</v>
      </c>
      <c r="AO43" s="260">
        <v>24.343170999999998</v>
      </c>
      <c r="AP43" s="260">
        <v>24.365776</v>
      </c>
      <c r="AQ43" s="260">
        <v>24.388266999999999</v>
      </c>
      <c r="AR43" s="260">
        <v>24.410644999999999</v>
      </c>
      <c r="AS43" s="260">
        <v>24.432908999999999</v>
      </c>
      <c r="AT43" s="260">
        <v>24.45506</v>
      </c>
      <c r="AU43" s="260">
        <v>24.477097999999998</v>
      </c>
      <c r="AV43" s="260">
        <v>24.499022999999998</v>
      </c>
      <c r="AW43" s="260">
        <v>24.520834999999998</v>
      </c>
      <c r="AX43" s="260">
        <v>24.542534</v>
      </c>
      <c r="AY43" s="260">
        <v>24.564119999999999</v>
      </c>
      <c r="AZ43" s="260">
        <v>24.585594</v>
      </c>
      <c r="BA43" s="260">
        <v>24.606954999999999</v>
      </c>
      <c r="BB43" s="260">
        <v>24.628204</v>
      </c>
      <c r="BC43" s="260">
        <v>24.649341999999997</v>
      </c>
      <c r="BD43" s="260">
        <v>24.670366999999999</v>
      </c>
      <c r="BE43" s="260">
        <v>24.691281</v>
      </c>
      <c r="BF43" s="260">
        <v>24.712083</v>
      </c>
      <c r="BG43" s="260">
        <v>24.732772999999998</v>
      </c>
      <c r="BH43" s="260">
        <v>24.753353000000001</v>
      </c>
      <c r="BI43" s="260">
        <v>24.773821999999999</v>
      </c>
      <c r="BJ43" s="260">
        <v>24.794179999999997</v>
      </c>
      <c r="BK43" s="260">
        <v>24.814426999999998</v>
      </c>
      <c r="BL43" s="260">
        <v>24.834564</v>
      </c>
      <c r="BM43" s="260">
        <v>24.854590999999999</v>
      </c>
      <c r="BN43" s="260">
        <v>24.874507999999999</v>
      </c>
      <c r="BO43" s="260">
        <v>24.894314999999999</v>
      </c>
      <c r="BP43" s="260">
        <v>24.914013000000001</v>
      </c>
      <c r="BQ43" s="260">
        <v>24.933602</v>
      </c>
      <c r="BR43" s="260">
        <v>24.953081999999998</v>
      </c>
      <c r="BS43" s="260">
        <v>24.972452999999998</v>
      </c>
      <c r="BT43" s="260">
        <v>24.991716</v>
      </c>
      <c r="BU43" s="260">
        <v>25.010870999999998</v>
      </c>
      <c r="BV43" s="260">
        <v>25.029916999999998</v>
      </c>
      <c r="BW43" s="260">
        <v>25.048856999999998</v>
      </c>
      <c r="BX43" s="260">
        <v>25.067688</v>
      </c>
      <c r="BY43" s="260">
        <v>25.086413</v>
      </c>
      <c r="BZ43" s="260">
        <v>25.105031</v>
      </c>
      <c r="CA43" s="260">
        <v>25.123542</v>
      </c>
      <c r="CB43" s="260">
        <v>25.141946999999998</v>
      </c>
      <c r="CC43" s="260">
        <v>25.160245999999997</v>
      </c>
      <c r="CD43" s="260">
        <v>25.178439999999998</v>
      </c>
      <c r="CE43" s="260">
        <v>25.196527999999997</v>
      </c>
      <c r="CF43" s="260">
        <v>25.214510999999998</v>
      </c>
      <c r="CG43" s="260">
        <v>25.232388999999998</v>
      </c>
      <c r="CH43" s="260">
        <v>25.250163000000001</v>
      </c>
    </row>
    <row r="44" spans="1:86" x14ac:dyDescent="0.25">
      <c r="A44" s="170">
        <v>1</v>
      </c>
      <c r="B44" s="170">
        <v>43</v>
      </c>
      <c r="C44" s="259">
        <v>23.216518402099609</v>
      </c>
      <c r="D44" s="259">
        <v>23.263507843017578</v>
      </c>
      <c r="E44" s="259">
        <v>23.309747695922852</v>
      </c>
      <c r="F44" s="259">
        <v>23.355249404907227</v>
      </c>
      <c r="G44" s="259">
        <v>23.400028228759766</v>
      </c>
      <c r="H44" s="259">
        <v>23.444095611572266</v>
      </c>
      <c r="I44" s="260">
        <v>23.283432999999999</v>
      </c>
      <c r="J44" s="260">
        <v>23.310998999999999</v>
      </c>
      <c r="K44" s="260">
        <v>23.338294999999999</v>
      </c>
      <c r="L44" s="260">
        <v>23.365344999999998</v>
      </c>
      <c r="M44" s="260">
        <v>23.392171999999999</v>
      </c>
      <c r="N44" s="260">
        <v>23.418794999999999</v>
      </c>
      <c r="O44" s="260">
        <v>23.445233999999999</v>
      </c>
      <c r="P44" s="260">
        <v>23.471502999999998</v>
      </c>
      <c r="Q44" s="260">
        <v>23.497617999999999</v>
      </c>
      <c r="R44" s="260">
        <v>23.523588999999998</v>
      </c>
      <c r="S44" s="260">
        <v>23.549426999999998</v>
      </c>
      <c r="T44" s="260">
        <v>23.575139999999998</v>
      </c>
      <c r="U44" s="260">
        <v>23.600731999999997</v>
      </c>
      <c r="V44" s="260">
        <v>23.626208999999999</v>
      </c>
      <c r="W44" s="260">
        <v>23.65157</v>
      </c>
      <c r="X44" s="260">
        <v>23.676815999999999</v>
      </c>
      <c r="Y44" s="260">
        <v>23.701946</v>
      </c>
      <c r="Z44" s="260">
        <v>23.726960999999999</v>
      </c>
      <c r="AA44" s="260">
        <v>23.751860000000001</v>
      </c>
      <c r="AB44" s="260">
        <v>23.776643999999997</v>
      </c>
      <c r="AC44" s="260">
        <v>23.801313</v>
      </c>
      <c r="AD44" s="260">
        <v>23.825865999999998</v>
      </c>
      <c r="AE44" s="260">
        <v>23.850303</v>
      </c>
      <c r="AF44" s="260">
        <v>23.874624999999998</v>
      </c>
      <c r="AG44" s="260">
        <v>23.898830999999998</v>
      </c>
      <c r="AH44" s="260">
        <v>23.922922</v>
      </c>
      <c r="AI44" s="260">
        <v>23.946897999999997</v>
      </c>
      <c r="AJ44" s="260">
        <v>23.970758</v>
      </c>
      <c r="AK44" s="260">
        <v>23.994502000000001</v>
      </c>
      <c r="AL44" s="260">
        <v>24.018131</v>
      </c>
      <c r="AM44" s="260">
        <v>24.041644999999999</v>
      </c>
      <c r="AN44" s="260">
        <v>24.065044</v>
      </c>
      <c r="AO44" s="260">
        <v>24.088327</v>
      </c>
      <c r="AP44" s="260">
        <v>24.111494999999998</v>
      </c>
      <c r="AQ44" s="260">
        <v>24.134547999999999</v>
      </c>
      <c r="AR44" s="260">
        <v>24.157485999999999</v>
      </c>
      <c r="AS44" s="260">
        <v>24.180309999999999</v>
      </c>
      <c r="AT44" s="260">
        <v>24.203018</v>
      </c>
      <c r="AU44" s="260">
        <v>24.225611000000001</v>
      </c>
      <c r="AV44" s="260">
        <v>24.248089999999998</v>
      </c>
      <c r="AW44" s="260">
        <v>24.270454999999998</v>
      </c>
      <c r="AX44" s="260">
        <v>24.292704999999998</v>
      </c>
      <c r="AY44" s="260">
        <v>24.314840999999998</v>
      </c>
      <c r="AZ44" s="260">
        <v>24.336862</v>
      </c>
      <c r="BA44" s="260">
        <v>24.35877</v>
      </c>
      <c r="BB44" s="260">
        <v>24.380564</v>
      </c>
      <c r="BC44" s="260">
        <v>24.402244</v>
      </c>
      <c r="BD44" s="260">
        <v>24.42381</v>
      </c>
      <c r="BE44" s="260">
        <v>24.445263000000001</v>
      </c>
      <c r="BF44" s="260">
        <v>24.466602999999999</v>
      </c>
      <c r="BG44" s="260">
        <v>24.487829999999999</v>
      </c>
      <c r="BH44" s="260">
        <v>24.508944</v>
      </c>
      <c r="BI44" s="260">
        <v>24.529944999999998</v>
      </c>
      <c r="BJ44" s="260">
        <v>24.550833999999998</v>
      </c>
      <c r="BK44" s="260">
        <v>24.57161</v>
      </c>
      <c r="BL44" s="260">
        <v>24.592274999999997</v>
      </c>
      <c r="BM44" s="260">
        <v>24.612826999999999</v>
      </c>
      <c r="BN44" s="260">
        <v>24.633267</v>
      </c>
      <c r="BO44" s="260">
        <v>24.653596999999998</v>
      </c>
      <c r="BP44" s="260">
        <v>24.673814</v>
      </c>
      <c r="BQ44" s="260">
        <v>24.693921</v>
      </c>
      <c r="BR44" s="260">
        <v>24.713916999999999</v>
      </c>
      <c r="BS44" s="260">
        <v>24.733802999999998</v>
      </c>
      <c r="BT44" s="260">
        <v>24.753577999999997</v>
      </c>
      <c r="BU44" s="260">
        <v>24.773242999999997</v>
      </c>
      <c r="BV44" s="260">
        <v>24.792797999999998</v>
      </c>
      <c r="BW44" s="260">
        <v>24.812244</v>
      </c>
      <c r="BX44" s="260">
        <v>24.831579999999999</v>
      </c>
      <c r="BY44" s="260">
        <v>24.850807999999997</v>
      </c>
      <c r="BZ44" s="260">
        <v>24.869926</v>
      </c>
      <c r="CA44" s="260">
        <v>24.888935999999998</v>
      </c>
      <c r="CB44" s="260">
        <v>24.907837999999998</v>
      </c>
      <c r="CC44" s="260">
        <v>24.926631999999998</v>
      </c>
      <c r="CD44" s="260">
        <v>24.945318</v>
      </c>
      <c r="CE44" s="260">
        <v>24.963896999999999</v>
      </c>
      <c r="CF44" s="260">
        <v>24.982368999999998</v>
      </c>
      <c r="CG44" s="260">
        <v>25.000734999999999</v>
      </c>
      <c r="CH44" s="260">
        <v>25.018992999999998</v>
      </c>
    </row>
    <row r="45" spans="1:86" x14ac:dyDescent="0.25">
      <c r="A45" s="170">
        <v>1</v>
      </c>
      <c r="B45" s="170">
        <v>44</v>
      </c>
      <c r="C45" s="259">
        <v>22.908470153808594</v>
      </c>
      <c r="D45" s="259">
        <v>22.95671272277832</v>
      </c>
      <c r="E45" s="259">
        <v>23.004192352294922</v>
      </c>
      <c r="F45" s="259">
        <v>23.050926208496094</v>
      </c>
      <c r="G45" s="259">
        <v>23.096923828125</v>
      </c>
      <c r="H45" s="259">
        <v>23.14219856262207</v>
      </c>
      <c r="I45" s="260">
        <v>23.001894999999998</v>
      </c>
      <c r="J45" s="260">
        <v>23.030134999999998</v>
      </c>
      <c r="K45" s="260">
        <v>23.058087999999998</v>
      </c>
      <c r="L45" s="260">
        <v>23.085780999999997</v>
      </c>
      <c r="M45" s="260">
        <v>23.113239</v>
      </c>
      <c r="N45" s="260">
        <v>23.140484000000001</v>
      </c>
      <c r="O45" s="260">
        <v>23.167538</v>
      </c>
      <c r="P45" s="260">
        <v>23.194417999999999</v>
      </c>
      <c r="Q45" s="260">
        <v>23.221138</v>
      </c>
      <c r="R45" s="260">
        <v>23.247712999999997</v>
      </c>
      <c r="S45" s="260">
        <v>23.274151999999997</v>
      </c>
      <c r="T45" s="260">
        <v>23.300464999999999</v>
      </c>
      <c r="U45" s="260">
        <v>23.326656</v>
      </c>
      <c r="V45" s="260">
        <v>23.352729999999998</v>
      </c>
      <c r="W45" s="260">
        <v>23.378686999999999</v>
      </c>
      <c r="X45" s="260">
        <v>23.404529</v>
      </c>
      <c r="Y45" s="260">
        <v>23.430253999999998</v>
      </c>
      <c r="Z45" s="260">
        <v>23.455862</v>
      </c>
      <c r="AA45" s="260">
        <v>23.481354</v>
      </c>
      <c r="AB45" s="260">
        <v>23.506729999999997</v>
      </c>
      <c r="AC45" s="260">
        <v>23.531988999999999</v>
      </c>
      <c r="AD45" s="260">
        <v>23.557130999999998</v>
      </c>
      <c r="AE45" s="260">
        <v>23.582155999999998</v>
      </c>
      <c r="AF45" s="260">
        <v>23.607064999999999</v>
      </c>
      <c r="AG45" s="260">
        <v>23.631857999999998</v>
      </c>
      <c r="AH45" s="260">
        <v>23.656533</v>
      </c>
      <c r="AI45" s="260">
        <v>23.681092</v>
      </c>
      <c r="AJ45" s="260">
        <v>23.705534</v>
      </c>
      <c r="AK45" s="260">
        <v>23.729858999999998</v>
      </c>
      <c r="AL45" s="260">
        <v>23.754068</v>
      </c>
      <c r="AM45" s="260">
        <v>23.77816</v>
      </c>
      <c r="AN45" s="260">
        <v>23.802135</v>
      </c>
      <c r="AO45" s="260">
        <v>23.825993999999998</v>
      </c>
      <c r="AP45" s="260">
        <v>23.849736</v>
      </c>
      <c r="AQ45" s="260">
        <v>23.873360999999999</v>
      </c>
      <c r="AR45" s="260">
        <v>23.896870999999997</v>
      </c>
      <c r="AS45" s="260">
        <v>23.920262999999998</v>
      </c>
      <c r="AT45" s="260">
        <v>23.943539999999999</v>
      </c>
      <c r="AU45" s="260">
        <v>23.966699999999999</v>
      </c>
      <c r="AV45" s="260">
        <v>23.989743999999998</v>
      </c>
      <c r="AW45" s="260">
        <v>24.012671999999998</v>
      </c>
      <c r="AX45" s="260">
        <v>24.035484</v>
      </c>
      <c r="AY45" s="260">
        <v>24.058180999999998</v>
      </c>
      <c r="AZ45" s="260">
        <v>24.080760999999999</v>
      </c>
      <c r="BA45" s="260">
        <v>24.103225999999999</v>
      </c>
      <c r="BB45" s="260">
        <v>24.125574999999998</v>
      </c>
      <c r="BC45" s="260">
        <v>24.147808999999999</v>
      </c>
      <c r="BD45" s="260">
        <v>24.169927999999999</v>
      </c>
      <c r="BE45" s="260">
        <v>24.191931999999998</v>
      </c>
      <c r="BF45" s="260">
        <v>24.213819999999998</v>
      </c>
      <c r="BG45" s="260">
        <v>24.235593999999999</v>
      </c>
      <c r="BH45" s="260">
        <v>24.257254</v>
      </c>
      <c r="BI45" s="260">
        <v>24.278798999999999</v>
      </c>
      <c r="BJ45" s="260">
        <v>24.300228999999998</v>
      </c>
      <c r="BK45" s="260">
        <v>24.321545999999998</v>
      </c>
      <c r="BL45" s="260">
        <v>24.342748</v>
      </c>
      <c r="BM45" s="260">
        <v>24.363837</v>
      </c>
      <c r="BN45" s="260">
        <v>24.384812</v>
      </c>
      <c r="BO45" s="260">
        <v>24.405674999999999</v>
      </c>
      <c r="BP45" s="260">
        <v>24.426423</v>
      </c>
      <c r="BQ45" s="260">
        <v>24.447058999999999</v>
      </c>
      <c r="BR45" s="260">
        <v>24.467582999999998</v>
      </c>
      <c r="BS45" s="260">
        <v>24.487994</v>
      </c>
      <c r="BT45" s="260">
        <v>24.508291999999997</v>
      </c>
      <c r="BU45" s="260">
        <v>24.528478999999997</v>
      </c>
      <c r="BV45" s="260">
        <v>24.548553999999999</v>
      </c>
      <c r="BW45" s="260">
        <v>24.568517999999997</v>
      </c>
      <c r="BX45" s="260">
        <v>24.588369999999998</v>
      </c>
      <c r="BY45" s="260">
        <v>24.608110999999997</v>
      </c>
      <c r="BZ45" s="260">
        <v>24.627741999999998</v>
      </c>
      <c r="CA45" s="260">
        <v>24.647261999999998</v>
      </c>
      <c r="CB45" s="260">
        <v>24.666671999999998</v>
      </c>
      <c r="CC45" s="260">
        <v>24.685972</v>
      </c>
      <c r="CD45" s="260">
        <v>24.705161999999998</v>
      </c>
      <c r="CE45" s="260">
        <v>24.724242999999998</v>
      </c>
      <c r="CF45" s="260">
        <v>24.743214999999999</v>
      </c>
      <c r="CG45" s="260">
        <v>24.762077999999999</v>
      </c>
      <c r="CH45" s="260">
        <v>24.780832999999998</v>
      </c>
    </row>
    <row r="46" spans="1:86" x14ac:dyDescent="0.25">
      <c r="A46" s="170">
        <v>1</v>
      </c>
      <c r="B46" s="170">
        <v>45</v>
      </c>
      <c r="C46" s="259">
        <v>22.591999053955078</v>
      </c>
      <c r="D46" s="259">
        <v>22.641477584838867</v>
      </c>
      <c r="E46" s="259">
        <v>22.690187454223633</v>
      </c>
      <c r="F46" s="259">
        <v>22.738136291503906</v>
      </c>
      <c r="G46" s="259">
        <v>22.785341262817383</v>
      </c>
      <c r="H46" s="259">
        <v>22.831815719604492</v>
      </c>
      <c r="I46" s="260">
        <v>22.711886</v>
      </c>
      <c r="J46" s="260">
        <v>22.740828</v>
      </c>
      <c r="K46" s="260">
        <v>22.769461</v>
      </c>
      <c r="L46" s="260">
        <v>22.797817999999999</v>
      </c>
      <c r="M46" s="260">
        <v>22.825927</v>
      </c>
      <c r="N46" s="260">
        <v>22.853812999999999</v>
      </c>
      <c r="O46" s="260">
        <v>22.881498000000001</v>
      </c>
      <c r="P46" s="260">
        <v>22.909001999999997</v>
      </c>
      <c r="Q46" s="260">
        <v>22.936342999999997</v>
      </c>
      <c r="R46" s="260">
        <v>22.963535</v>
      </c>
      <c r="S46" s="260">
        <v>22.990587999999999</v>
      </c>
      <c r="T46" s="260">
        <v>23.017512999999997</v>
      </c>
      <c r="U46" s="260">
        <v>23.044315999999998</v>
      </c>
      <c r="V46" s="260">
        <v>23.071000999999999</v>
      </c>
      <c r="W46" s="260">
        <v>23.097567999999999</v>
      </c>
      <c r="X46" s="260">
        <v>23.124018</v>
      </c>
      <c r="Y46" s="260">
        <v>23.150351000000001</v>
      </c>
      <c r="Z46" s="260">
        <v>23.176566999999999</v>
      </c>
      <c r="AA46" s="260">
        <v>23.202665</v>
      </c>
      <c r="AB46" s="260">
        <v>23.228645</v>
      </c>
      <c r="AC46" s="260">
        <v>23.254507</v>
      </c>
      <c r="AD46" s="260">
        <v>23.280251999999997</v>
      </c>
      <c r="AE46" s="260">
        <v>23.305878999999997</v>
      </c>
      <c r="AF46" s="260">
        <v>23.331388999999998</v>
      </c>
      <c r="AG46" s="260">
        <v>23.356780000000001</v>
      </c>
      <c r="AH46" s="260">
        <v>23.382052999999999</v>
      </c>
      <c r="AI46" s="260">
        <v>23.407208999999998</v>
      </c>
      <c r="AJ46" s="260">
        <v>23.432245999999999</v>
      </c>
      <c r="AK46" s="260">
        <v>23.457165999999997</v>
      </c>
      <c r="AL46" s="260">
        <v>23.481966999999997</v>
      </c>
      <c r="AM46" s="260">
        <v>23.506650999999998</v>
      </c>
      <c r="AN46" s="260">
        <v>23.531216999999998</v>
      </c>
      <c r="AO46" s="260">
        <v>23.555664</v>
      </c>
      <c r="AP46" s="260">
        <v>23.579993999999999</v>
      </c>
      <c r="AQ46" s="260">
        <v>23.604205</v>
      </c>
      <c r="AR46" s="260">
        <v>23.628298999999998</v>
      </c>
      <c r="AS46" s="260">
        <v>23.652274999999999</v>
      </c>
      <c r="AT46" s="260">
        <v>23.676133</v>
      </c>
      <c r="AU46" s="260">
        <v>23.699873999999998</v>
      </c>
      <c r="AV46" s="260">
        <v>23.723496999999998</v>
      </c>
      <c r="AW46" s="260">
        <v>23.747001999999998</v>
      </c>
      <c r="AX46" s="260">
        <v>23.770389999999999</v>
      </c>
      <c r="AY46" s="260">
        <v>23.793659999999999</v>
      </c>
      <c r="AZ46" s="260">
        <v>23.816813</v>
      </c>
      <c r="BA46" s="260">
        <v>23.839848</v>
      </c>
      <c r="BB46" s="260">
        <v>23.862766999999998</v>
      </c>
      <c r="BC46" s="260">
        <v>23.885569</v>
      </c>
      <c r="BD46" s="260">
        <v>23.908252999999998</v>
      </c>
      <c r="BE46" s="260">
        <v>23.930820999999998</v>
      </c>
      <c r="BF46" s="260">
        <v>23.953271999999998</v>
      </c>
      <c r="BG46" s="260">
        <v>23.975607</v>
      </c>
      <c r="BH46" s="260">
        <v>23.997824999999999</v>
      </c>
      <c r="BI46" s="260">
        <v>24.019926999999999</v>
      </c>
      <c r="BJ46" s="260">
        <v>24.041912999999997</v>
      </c>
      <c r="BK46" s="260">
        <v>24.063783999999998</v>
      </c>
      <c r="BL46" s="260">
        <v>24.085538</v>
      </c>
      <c r="BM46" s="260">
        <v>24.107177</v>
      </c>
      <c r="BN46" s="260">
        <v>24.128701</v>
      </c>
      <c r="BO46" s="260">
        <v>24.150109</v>
      </c>
      <c r="BP46" s="260">
        <v>24.171402</v>
      </c>
      <c r="BQ46" s="260">
        <v>24.192581000000001</v>
      </c>
      <c r="BR46" s="260">
        <v>24.213645</v>
      </c>
      <c r="BS46" s="260">
        <v>24.234594999999999</v>
      </c>
      <c r="BT46" s="260">
        <v>24.255430999999998</v>
      </c>
      <c r="BU46" s="260">
        <v>24.276152</v>
      </c>
      <c r="BV46" s="260">
        <v>24.296761</v>
      </c>
      <c r="BW46" s="260">
        <v>24.317254999999999</v>
      </c>
      <c r="BX46" s="260">
        <v>24.337636999999997</v>
      </c>
      <c r="BY46" s="260">
        <v>24.357904999999999</v>
      </c>
      <c r="BZ46" s="260">
        <v>24.378060999999999</v>
      </c>
      <c r="CA46" s="260">
        <v>24.398104</v>
      </c>
      <c r="CB46" s="260">
        <v>24.418035999999997</v>
      </c>
      <c r="CC46" s="260">
        <v>24.437854999999999</v>
      </c>
      <c r="CD46" s="260">
        <v>24.457561999999999</v>
      </c>
      <c r="CE46" s="260">
        <v>24.477159</v>
      </c>
      <c r="CF46" s="260">
        <v>24.496644</v>
      </c>
      <c r="CG46" s="260">
        <v>24.516017999999999</v>
      </c>
      <c r="CH46" s="260">
        <v>24.535281999999999</v>
      </c>
    </row>
    <row r="47" spans="1:86" x14ac:dyDescent="0.25">
      <c r="A47" s="170">
        <v>1</v>
      </c>
      <c r="B47" s="170">
        <v>46</v>
      </c>
      <c r="C47" s="259">
        <v>22.266733169555664</v>
      </c>
      <c r="D47" s="259">
        <v>22.317371368408203</v>
      </c>
      <c r="E47" s="259">
        <v>22.367233276367188</v>
      </c>
      <c r="F47" s="259">
        <v>22.416332244873047</v>
      </c>
      <c r="G47" s="259">
        <v>22.464683532714844</v>
      </c>
      <c r="H47" s="259">
        <v>22.512294769287109</v>
      </c>
      <c r="I47" s="260">
        <v>22.413131</v>
      </c>
      <c r="J47" s="260">
        <v>22.442805</v>
      </c>
      <c r="K47" s="260">
        <v>22.472145999999999</v>
      </c>
      <c r="L47" s="260">
        <v>22.501189999999998</v>
      </c>
      <c r="M47" s="260">
        <v>22.529969999999999</v>
      </c>
      <c r="N47" s="260">
        <v>22.558513999999999</v>
      </c>
      <c r="O47" s="260">
        <v>22.586848</v>
      </c>
      <c r="P47" s="260">
        <v>22.614992999999998</v>
      </c>
      <c r="Q47" s="260">
        <v>22.642968999999997</v>
      </c>
      <c r="R47" s="260">
        <v>22.670791999999999</v>
      </c>
      <c r="S47" s="260">
        <v>22.698473999999997</v>
      </c>
      <c r="T47" s="260">
        <v>22.726025</v>
      </c>
      <c r="U47" s="260">
        <v>22.753453</v>
      </c>
      <c r="V47" s="260">
        <v>22.780761999999999</v>
      </c>
      <c r="W47" s="260">
        <v>22.807952</v>
      </c>
      <c r="X47" s="260">
        <v>22.835024999999998</v>
      </c>
      <c r="Y47" s="260">
        <v>22.861978999999998</v>
      </c>
      <c r="Z47" s="260">
        <v>22.888814999999997</v>
      </c>
      <c r="AA47" s="260">
        <v>22.915533</v>
      </c>
      <c r="AB47" s="260">
        <v>22.942131</v>
      </c>
      <c r="AC47" s="260">
        <v>22.968610999999999</v>
      </c>
      <c r="AD47" s="260">
        <v>22.994972999999998</v>
      </c>
      <c r="AE47" s="260">
        <v>23.021214999999998</v>
      </c>
      <c r="AF47" s="260">
        <v>23.047338</v>
      </c>
      <c r="AG47" s="260">
        <v>23.073342999999998</v>
      </c>
      <c r="AH47" s="260">
        <v>23.099228</v>
      </c>
      <c r="AI47" s="260">
        <v>23.124993999999997</v>
      </c>
      <c r="AJ47" s="260">
        <v>23.150641</v>
      </c>
      <c r="AK47" s="260">
        <v>23.176168999999998</v>
      </c>
      <c r="AL47" s="260">
        <v>23.201577</v>
      </c>
      <c r="AM47" s="260">
        <v>23.226865999999998</v>
      </c>
      <c r="AN47" s="260">
        <v>23.252036</v>
      </c>
      <c r="AO47" s="260">
        <v>23.277086000000001</v>
      </c>
      <c r="AP47" s="260">
        <v>23.302016999999999</v>
      </c>
      <c r="AQ47" s="260">
        <v>23.326829</v>
      </c>
      <c r="AR47" s="260">
        <v>23.351520999999998</v>
      </c>
      <c r="AS47" s="260">
        <v>23.376094999999999</v>
      </c>
      <c r="AT47" s="260">
        <v>23.400548000000001</v>
      </c>
      <c r="AU47" s="260">
        <v>23.424882999999998</v>
      </c>
      <c r="AV47" s="260">
        <v>23.449099</v>
      </c>
      <c r="AW47" s="260">
        <v>23.473195</v>
      </c>
      <c r="AX47" s="260">
        <v>23.497171999999999</v>
      </c>
      <c r="AY47" s="260">
        <v>23.521031000000001</v>
      </c>
      <c r="AZ47" s="260">
        <v>23.54477</v>
      </c>
      <c r="BA47" s="260">
        <v>23.568389999999997</v>
      </c>
      <c r="BB47" s="260">
        <v>23.591891999999998</v>
      </c>
      <c r="BC47" s="260">
        <v>23.615275</v>
      </c>
      <c r="BD47" s="260">
        <v>23.638539999999999</v>
      </c>
      <c r="BE47" s="260">
        <v>23.661686</v>
      </c>
      <c r="BF47" s="260">
        <v>23.684712999999999</v>
      </c>
      <c r="BG47" s="260">
        <v>23.707622999999998</v>
      </c>
      <c r="BH47" s="260">
        <v>23.730414</v>
      </c>
      <c r="BI47" s="260">
        <v>23.753086999999997</v>
      </c>
      <c r="BJ47" s="260">
        <v>23.775642999999999</v>
      </c>
      <c r="BK47" s="260">
        <v>23.798081</v>
      </c>
      <c r="BL47" s="260">
        <v>23.820401</v>
      </c>
      <c r="BM47" s="260">
        <v>23.842603999999998</v>
      </c>
      <c r="BN47" s="260">
        <v>23.86469</v>
      </c>
      <c r="BO47" s="260">
        <v>23.886658000000001</v>
      </c>
      <c r="BP47" s="260">
        <v>23.90851</v>
      </c>
      <c r="BQ47" s="260">
        <v>23.930246</v>
      </c>
      <c r="BR47" s="260">
        <v>23.951864</v>
      </c>
      <c r="BS47" s="260">
        <v>23.973367</v>
      </c>
      <c r="BT47" s="260">
        <v>23.994752999999999</v>
      </c>
      <c r="BU47" s="260">
        <v>24.016023999999998</v>
      </c>
      <c r="BV47" s="260">
        <v>24.037178999999998</v>
      </c>
      <c r="BW47" s="260">
        <v>24.058218999999998</v>
      </c>
      <c r="BX47" s="260">
        <v>24.079142999999998</v>
      </c>
      <c r="BY47" s="260">
        <v>24.099952999999999</v>
      </c>
      <c r="BZ47" s="260">
        <v>24.120646999999998</v>
      </c>
      <c r="CA47" s="260">
        <v>24.141227999999998</v>
      </c>
      <c r="CB47" s="260">
        <v>24.161694000000001</v>
      </c>
      <c r="CC47" s="260">
        <v>24.182046</v>
      </c>
      <c r="CD47" s="260">
        <v>24.202285</v>
      </c>
      <c r="CE47" s="260">
        <v>24.22241</v>
      </c>
      <c r="CF47" s="260">
        <v>24.242421999999998</v>
      </c>
      <c r="CG47" s="260">
        <v>24.262321</v>
      </c>
      <c r="CH47" s="260">
        <v>24.282107999999997</v>
      </c>
    </row>
    <row r="48" spans="1:86" x14ac:dyDescent="0.25">
      <c r="A48" s="170">
        <v>1</v>
      </c>
      <c r="B48" s="170">
        <v>47</v>
      </c>
      <c r="C48" s="259">
        <v>21.933000564575195</v>
      </c>
      <c r="D48" s="259">
        <v>21.984758377075195</v>
      </c>
      <c r="E48" s="259">
        <v>22.035739898681641</v>
      </c>
      <c r="F48" s="259">
        <v>22.085952758789063</v>
      </c>
      <c r="G48" s="259">
        <v>22.135414123535156</v>
      </c>
      <c r="H48" s="259">
        <v>22.184135437011719</v>
      </c>
      <c r="I48" s="260">
        <v>22.105329999999999</v>
      </c>
      <c r="J48" s="260">
        <v>22.135769999999997</v>
      </c>
      <c r="K48" s="260">
        <v>22.165848999999998</v>
      </c>
      <c r="L48" s="260">
        <v>22.195605999999998</v>
      </c>
      <c r="M48" s="260">
        <v>22.225079999999998</v>
      </c>
      <c r="N48" s="260">
        <v>22.254303</v>
      </c>
      <c r="O48" s="260">
        <v>22.283303999999998</v>
      </c>
      <c r="P48" s="260">
        <v>22.312106999999997</v>
      </c>
      <c r="Q48" s="260">
        <v>22.340733999999998</v>
      </c>
      <c r="R48" s="260">
        <v>22.369201999999998</v>
      </c>
      <c r="S48" s="260">
        <v>22.397527</v>
      </c>
      <c r="T48" s="260">
        <v>22.425718999999997</v>
      </c>
      <c r="U48" s="260">
        <v>22.453785999999997</v>
      </c>
      <c r="V48" s="260">
        <v>22.481732999999998</v>
      </c>
      <c r="W48" s="260">
        <v>22.509560999999998</v>
      </c>
      <c r="X48" s="260">
        <v>22.537269999999999</v>
      </c>
      <c r="Y48" s="260">
        <v>22.564859999999999</v>
      </c>
      <c r="Z48" s="260">
        <v>22.592330999999998</v>
      </c>
      <c r="AA48" s="260">
        <v>22.619681999999997</v>
      </c>
      <c r="AB48" s="260">
        <v>22.646912999999998</v>
      </c>
      <c r="AC48" s="260">
        <v>22.674025</v>
      </c>
      <c r="AD48" s="260">
        <v>22.701017</v>
      </c>
      <c r="AE48" s="260">
        <v>22.727888999999998</v>
      </c>
      <c r="AF48" s="260">
        <v>22.754640999999999</v>
      </c>
      <c r="AG48" s="260">
        <v>22.781271999999998</v>
      </c>
      <c r="AH48" s="260">
        <v>22.807783999999998</v>
      </c>
      <c r="AI48" s="260">
        <v>22.834174999999998</v>
      </c>
      <c r="AJ48" s="260">
        <v>22.860446</v>
      </c>
      <c r="AK48" s="260">
        <v>22.886595999999997</v>
      </c>
      <c r="AL48" s="260">
        <v>22.912624999999998</v>
      </c>
      <c r="AM48" s="260">
        <v>22.938534000000001</v>
      </c>
      <c r="AN48" s="260">
        <v>22.964323</v>
      </c>
      <c r="AO48" s="260">
        <v>22.989989999999999</v>
      </c>
      <c r="AP48" s="260">
        <v>23.015536999999998</v>
      </c>
      <c r="AQ48" s="260">
        <v>23.040963999999999</v>
      </c>
      <c r="AR48" s="260">
        <v>23.066268999999998</v>
      </c>
      <c r="AS48" s="260">
        <v>23.091453999999999</v>
      </c>
      <c r="AT48" s="260">
        <v>23.116517999999999</v>
      </c>
      <c r="AU48" s="260">
        <v>23.141462000000001</v>
      </c>
      <c r="AV48" s="260">
        <v>23.166283999999997</v>
      </c>
      <c r="AW48" s="260">
        <v>23.190985999999999</v>
      </c>
      <c r="AX48" s="260">
        <v>23.215567999999998</v>
      </c>
      <c r="AY48" s="260">
        <v>23.240029</v>
      </c>
      <c r="AZ48" s="260">
        <v>23.264368999999999</v>
      </c>
      <c r="BA48" s="260">
        <v>23.288588999999998</v>
      </c>
      <c r="BB48" s="260">
        <v>23.312687999999998</v>
      </c>
      <c r="BC48" s="260">
        <v>23.336666999999998</v>
      </c>
      <c r="BD48" s="260">
        <v>23.360526</v>
      </c>
      <c r="BE48" s="260">
        <v>23.384264999999999</v>
      </c>
      <c r="BF48" s="260">
        <v>23.407882999999998</v>
      </c>
      <c r="BG48" s="260">
        <v>23.431381999999999</v>
      </c>
      <c r="BH48" s="260">
        <v>23.454760999999998</v>
      </c>
      <c r="BI48" s="260">
        <v>23.478019999999997</v>
      </c>
      <c r="BJ48" s="260">
        <v>23.501158999999998</v>
      </c>
      <c r="BK48" s="260">
        <v>23.524179</v>
      </c>
      <c r="BL48" s="260">
        <v>23.547079999999998</v>
      </c>
      <c r="BM48" s="260">
        <v>23.569861</v>
      </c>
      <c r="BN48" s="260">
        <v>23.592523</v>
      </c>
      <c r="BO48" s="260">
        <v>23.615067</v>
      </c>
      <c r="BP48" s="260">
        <v>23.637491999999998</v>
      </c>
      <c r="BQ48" s="260">
        <v>23.659797999999999</v>
      </c>
      <c r="BR48" s="260">
        <v>23.681985999999998</v>
      </c>
      <c r="BS48" s="260">
        <v>23.704055</v>
      </c>
      <c r="BT48" s="260">
        <v>23.726006999999999</v>
      </c>
      <c r="BU48" s="260">
        <v>23.747840999999998</v>
      </c>
      <c r="BV48" s="260">
        <v>23.769556999999999</v>
      </c>
      <c r="BW48" s="260">
        <v>23.791155999999997</v>
      </c>
      <c r="BX48" s="260">
        <v>23.812638</v>
      </c>
      <c r="BY48" s="260">
        <v>23.834001999999998</v>
      </c>
      <c r="BZ48" s="260">
        <v>23.855249999999998</v>
      </c>
      <c r="CA48" s="260">
        <v>23.876382</v>
      </c>
      <c r="CB48" s="260">
        <v>23.897396999999998</v>
      </c>
      <c r="CC48" s="260">
        <v>23.918295999999998</v>
      </c>
      <c r="CD48" s="260">
        <v>23.939080000000001</v>
      </c>
      <c r="CE48" s="260">
        <v>23.959747999999998</v>
      </c>
      <c r="CF48" s="260">
        <v>23.980300999999997</v>
      </c>
      <c r="CG48" s="260">
        <v>24.000738999999999</v>
      </c>
      <c r="CH48" s="260">
        <v>24.021062000000001</v>
      </c>
    </row>
    <row r="49" spans="1:86" x14ac:dyDescent="0.25">
      <c r="A49" s="170">
        <v>1</v>
      </c>
      <c r="B49" s="170">
        <v>48</v>
      </c>
      <c r="C49" s="259">
        <v>21.590597152709961</v>
      </c>
      <c r="D49" s="259">
        <v>21.6434326171875</v>
      </c>
      <c r="E49" s="259">
        <v>21.695491790771484</v>
      </c>
      <c r="F49" s="259">
        <v>21.746782302856445</v>
      </c>
      <c r="G49" s="259">
        <v>21.797319412231445</v>
      </c>
      <c r="H49" s="259">
        <v>21.847114562988281</v>
      </c>
      <c r="I49" s="260">
        <v>21.788837999999998</v>
      </c>
      <c r="J49" s="260">
        <v>21.820073999999998</v>
      </c>
      <c r="K49" s="260">
        <v>21.850915999999998</v>
      </c>
      <c r="L49" s="260">
        <v>21.881408</v>
      </c>
      <c r="M49" s="260">
        <v>21.911594999999998</v>
      </c>
      <c r="N49" s="260">
        <v>21.941511999999999</v>
      </c>
      <c r="O49" s="260">
        <v>21.971191999999999</v>
      </c>
      <c r="P49" s="260">
        <v>22.000664999999998</v>
      </c>
      <c r="Q49" s="260">
        <v>22.029954</v>
      </c>
      <c r="R49" s="260">
        <v>22.059079000000001</v>
      </c>
      <c r="S49" s="260">
        <v>22.088055999999998</v>
      </c>
      <c r="T49" s="260">
        <v>22.116899</v>
      </c>
      <c r="U49" s="260">
        <v>22.145613999999998</v>
      </c>
      <c r="V49" s="260">
        <v>22.174208999999998</v>
      </c>
      <c r="W49" s="260">
        <v>22.202683999999998</v>
      </c>
      <c r="X49" s="260">
        <v>22.231038999999999</v>
      </c>
      <c r="Y49" s="260">
        <v>22.259273999999998</v>
      </c>
      <c r="Z49" s="260">
        <v>22.287388999999997</v>
      </c>
      <c r="AA49" s="260">
        <v>22.315383999999998</v>
      </c>
      <c r="AB49" s="260">
        <v>22.343257999999999</v>
      </c>
      <c r="AC49" s="260">
        <v>22.371012</v>
      </c>
      <c r="AD49" s="260">
        <v>22.398643999999997</v>
      </c>
      <c r="AE49" s="260">
        <v>22.426155999999999</v>
      </c>
      <c r="AF49" s="260">
        <v>22.453545999999999</v>
      </c>
      <c r="AG49" s="260">
        <v>22.480815</v>
      </c>
      <c r="AH49" s="260">
        <v>22.507963</v>
      </c>
      <c r="AI49" s="260">
        <v>22.534990000000001</v>
      </c>
      <c r="AJ49" s="260">
        <v>22.561893999999999</v>
      </c>
      <c r="AK49" s="260">
        <v>22.588677000000001</v>
      </c>
      <c r="AL49" s="260">
        <v>22.615338999999999</v>
      </c>
      <c r="AM49" s="260">
        <v>22.641877999999998</v>
      </c>
      <c r="AN49" s="260">
        <v>22.668295999999998</v>
      </c>
      <c r="AO49" s="260">
        <v>22.694590999999999</v>
      </c>
      <c r="AP49" s="260">
        <v>22.720765</v>
      </c>
      <c r="AQ49" s="260">
        <v>22.746817</v>
      </c>
      <c r="AR49" s="260">
        <v>22.772745999999998</v>
      </c>
      <c r="AS49" s="260">
        <v>22.798552999999998</v>
      </c>
      <c r="AT49" s="260">
        <v>22.824237999999998</v>
      </c>
      <c r="AU49" s="260">
        <v>22.849800999999999</v>
      </c>
      <c r="AV49" s="260">
        <v>22.875242</v>
      </c>
      <c r="AW49" s="260">
        <v>22.900561</v>
      </c>
      <c r="AX49" s="260">
        <v>22.925756999999997</v>
      </c>
      <c r="AY49" s="260">
        <v>22.950831999999998</v>
      </c>
      <c r="AZ49" s="260">
        <v>22.975783999999997</v>
      </c>
      <c r="BA49" s="260">
        <v>23.000613999999999</v>
      </c>
      <c r="BB49" s="260">
        <v>23.025321999999999</v>
      </c>
      <c r="BC49" s="260">
        <v>23.049909</v>
      </c>
      <c r="BD49" s="260">
        <v>23.074372999999998</v>
      </c>
      <c r="BE49" s="260">
        <v>23.098714999999999</v>
      </c>
      <c r="BF49" s="260">
        <v>23.122935999999999</v>
      </c>
      <c r="BG49" s="260">
        <v>23.147034999999999</v>
      </c>
      <c r="BH49" s="260">
        <v>23.171012999999999</v>
      </c>
      <c r="BI49" s="260">
        <v>23.194869000000001</v>
      </c>
      <c r="BJ49" s="260">
        <v>23.218602999999998</v>
      </c>
      <c r="BK49" s="260">
        <v>23.242217</v>
      </c>
      <c r="BL49" s="260">
        <v>23.265708999999998</v>
      </c>
      <c r="BM49" s="260">
        <v>23.289079999999998</v>
      </c>
      <c r="BN49" s="260">
        <v>23.312329999999999</v>
      </c>
      <c r="BO49" s="260">
        <v>23.335459999999998</v>
      </c>
      <c r="BP49" s="260">
        <v>23.358468999999999</v>
      </c>
      <c r="BQ49" s="260">
        <v>23.381356999999998</v>
      </c>
      <c r="BR49" s="260">
        <v>23.404125999999998</v>
      </c>
      <c r="BS49" s="260">
        <v>23.426773999999998</v>
      </c>
      <c r="BT49" s="260">
        <v>23.449301999999999</v>
      </c>
      <c r="BU49" s="260">
        <v>23.471709999999998</v>
      </c>
      <c r="BV49" s="260">
        <v>23.493998999999999</v>
      </c>
      <c r="BW49" s="260">
        <v>23.516168999999998</v>
      </c>
      <c r="BX49" s="260">
        <v>23.538218999999998</v>
      </c>
      <c r="BY49" s="260">
        <v>23.560150999999998</v>
      </c>
      <c r="BZ49" s="260">
        <v>23.581962999999998</v>
      </c>
      <c r="CA49" s="260">
        <v>23.603657999999999</v>
      </c>
      <c r="CB49" s="260">
        <v>23.625233999999999</v>
      </c>
      <c r="CC49" s="260">
        <v>23.646691000000001</v>
      </c>
      <c r="CD49" s="260">
        <v>23.668032</v>
      </c>
      <c r="CE49" s="260">
        <v>23.689253999999998</v>
      </c>
      <c r="CF49" s="260">
        <v>23.710359</v>
      </c>
      <c r="CG49" s="260">
        <v>23.731347</v>
      </c>
      <c r="CH49" s="260">
        <v>23.752219</v>
      </c>
    </row>
    <row r="50" spans="1:86" x14ac:dyDescent="0.25">
      <c r="A50" s="170">
        <v>1</v>
      </c>
      <c r="B50" s="170">
        <v>49</v>
      </c>
      <c r="C50" s="259">
        <v>21.239248275756836</v>
      </c>
      <c r="D50" s="259">
        <v>21.293117523193359</v>
      </c>
      <c r="E50" s="259">
        <v>21.346210479736328</v>
      </c>
      <c r="F50" s="259">
        <v>21.398538589477539</v>
      </c>
      <c r="G50" s="259">
        <v>21.450115203857422</v>
      </c>
      <c r="H50" s="259">
        <v>21.500949859619141</v>
      </c>
      <c r="I50" s="260">
        <v>21.463751999999999</v>
      </c>
      <c r="J50" s="260">
        <v>21.495812999999998</v>
      </c>
      <c r="K50" s="260">
        <v>21.527441</v>
      </c>
      <c r="L50" s="260">
        <v>21.558688</v>
      </c>
      <c r="M50" s="260">
        <v>21.589603</v>
      </c>
      <c r="N50" s="260">
        <v>21.620227999999997</v>
      </c>
      <c r="O50" s="260">
        <v>21.650600000000001</v>
      </c>
      <c r="P50" s="260">
        <v>21.680751000000001</v>
      </c>
      <c r="Q50" s="260">
        <v>21.710711</v>
      </c>
      <c r="R50" s="260">
        <v>21.740499</v>
      </c>
      <c r="S50" s="260">
        <v>21.770136999999998</v>
      </c>
      <c r="T50" s="260">
        <v>21.799636</v>
      </c>
      <c r="U50" s="260">
        <v>21.829007000000001</v>
      </c>
      <c r="V50" s="260">
        <v>21.858255999999997</v>
      </c>
      <c r="W50" s="260">
        <v>21.887384999999998</v>
      </c>
      <c r="X50" s="260">
        <v>21.916394</v>
      </c>
      <c r="Y50" s="260">
        <v>21.945281999999999</v>
      </c>
      <c r="Z50" s="260">
        <v>21.974048</v>
      </c>
      <c r="AA50" s="260">
        <v>22.002693999999998</v>
      </c>
      <c r="AB50" s="260">
        <v>22.031217999999999</v>
      </c>
      <c r="AC50" s="260">
        <v>22.059621</v>
      </c>
      <c r="AD50" s="260">
        <v>22.087902</v>
      </c>
      <c r="AE50" s="260">
        <v>22.116060999999998</v>
      </c>
      <c r="AF50" s="260">
        <v>22.144098</v>
      </c>
      <c r="AG50" s="260">
        <v>22.172011999999999</v>
      </c>
      <c r="AH50" s="260">
        <v>22.199804</v>
      </c>
      <c r="AI50" s="260">
        <v>22.227473999999997</v>
      </c>
      <c r="AJ50" s="260">
        <v>22.255020999999999</v>
      </c>
      <c r="AK50" s="260">
        <v>22.282444999999999</v>
      </c>
      <c r="AL50" s="260">
        <v>22.309746000000001</v>
      </c>
      <c r="AM50" s="260">
        <v>22.336924999999997</v>
      </c>
      <c r="AN50" s="260">
        <v>22.363979999999998</v>
      </c>
      <c r="AO50" s="260">
        <v>22.390912</v>
      </c>
      <c r="AP50" s="260">
        <v>22.417719999999999</v>
      </c>
      <c r="AQ50" s="260">
        <v>22.444406000000001</v>
      </c>
      <c r="AR50" s="260">
        <v>22.470967999999999</v>
      </c>
      <c r="AS50" s="260">
        <v>22.497405999999998</v>
      </c>
      <c r="AT50" s="260">
        <v>22.523720999999998</v>
      </c>
      <c r="AU50" s="260">
        <v>22.549911999999999</v>
      </c>
      <c r="AV50" s="260">
        <v>22.575979999999998</v>
      </c>
      <c r="AW50" s="260">
        <v>22.601924</v>
      </c>
      <c r="AX50" s="260">
        <v>22.627744999999997</v>
      </c>
      <c r="AY50" s="260">
        <v>22.653441999999998</v>
      </c>
      <c r="AZ50" s="260">
        <v>22.679015</v>
      </c>
      <c r="BA50" s="260">
        <v>22.704464999999999</v>
      </c>
      <c r="BB50" s="260">
        <v>22.729790999999999</v>
      </c>
      <c r="BC50" s="260">
        <v>22.754994</v>
      </c>
      <c r="BD50" s="260">
        <v>22.780072999999998</v>
      </c>
      <c r="BE50" s="260">
        <v>22.805028999999998</v>
      </c>
      <c r="BF50" s="260">
        <v>22.829860999999998</v>
      </c>
      <c r="BG50" s="260">
        <v>22.854569999999999</v>
      </c>
      <c r="BH50" s="260">
        <v>22.879154999999997</v>
      </c>
      <c r="BI50" s="260">
        <v>22.903617999999998</v>
      </c>
      <c r="BJ50" s="260">
        <v>22.927956999999999</v>
      </c>
      <c r="BK50" s="260">
        <v>22.952172999999998</v>
      </c>
      <c r="BL50" s="260">
        <v>22.976267</v>
      </c>
      <c r="BM50" s="260">
        <v>23.000236999999998</v>
      </c>
      <c r="BN50" s="260">
        <v>23.024084999999999</v>
      </c>
      <c r="BO50" s="260">
        <v>23.047810999999999</v>
      </c>
      <c r="BP50" s="260">
        <v>23.071413999999997</v>
      </c>
      <c r="BQ50" s="260">
        <v>23.094894</v>
      </c>
      <c r="BR50" s="260">
        <v>23.118252999999999</v>
      </c>
      <c r="BS50" s="260">
        <v>23.141489</v>
      </c>
      <c r="BT50" s="260">
        <v>23.164604000000001</v>
      </c>
      <c r="BU50" s="260">
        <v>23.187597</v>
      </c>
      <c r="BV50" s="260">
        <v>23.210467999999999</v>
      </c>
      <c r="BW50" s="260">
        <v>23.233217999999997</v>
      </c>
      <c r="BX50" s="260">
        <v>23.255846999999999</v>
      </c>
      <c r="BY50" s="260">
        <v>23.278354999999998</v>
      </c>
      <c r="BZ50" s="260">
        <v>23.300743000000001</v>
      </c>
      <c r="CA50" s="260">
        <v>23.32301</v>
      </c>
      <c r="CB50" s="260">
        <v>23.345155999999999</v>
      </c>
      <c r="CC50" s="260">
        <v>23.367183000000001</v>
      </c>
      <c r="CD50" s="260">
        <v>23.389088999999998</v>
      </c>
      <c r="CE50" s="260">
        <v>23.410875999999998</v>
      </c>
      <c r="CF50" s="260">
        <v>23.432544</v>
      </c>
      <c r="CG50" s="260">
        <v>23.454091999999999</v>
      </c>
      <c r="CH50" s="260">
        <v>23.475521999999998</v>
      </c>
    </row>
    <row r="51" spans="1:86" x14ac:dyDescent="0.25">
      <c r="A51" s="170">
        <v>1</v>
      </c>
      <c r="B51" s="170">
        <v>50</v>
      </c>
      <c r="C51" s="259">
        <v>20.878772735595703</v>
      </c>
      <c r="D51" s="259">
        <v>20.933626174926758</v>
      </c>
      <c r="E51" s="259">
        <v>20.987710952758789</v>
      </c>
      <c r="F51" s="259">
        <v>21.041032791137695</v>
      </c>
      <c r="G51" s="259">
        <v>21.093605041503906</v>
      </c>
      <c r="H51" s="259">
        <v>21.145441055297852</v>
      </c>
      <c r="I51" s="260">
        <v>21.130292999999998</v>
      </c>
      <c r="J51" s="260">
        <v>21.163201000000001</v>
      </c>
      <c r="K51" s="260">
        <v>21.195634999999999</v>
      </c>
      <c r="L51" s="260">
        <v>21.227653999999998</v>
      </c>
      <c r="M51" s="260">
        <v>21.259309999999999</v>
      </c>
      <c r="N51" s="260">
        <v>21.290651999999998</v>
      </c>
      <c r="O51" s="260">
        <v>21.321722999999999</v>
      </c>
      <c r="P51" s="260">
        <v>21.352558999999999</v>
      </c>
      <c r="Q51" s="260">
        <v>21.383192999999999</v>
      </c>
      <c r="R51" s="260">
        <v>21.413648999999999</v>
      </c>
      <c r="S51" s="260">
        <v>21.443949</v>
      </c>
      <c r="T51" s="260">
        <v>21.474108999999999</v>
      </c>
      <c r="U51" s="260">
        <v>21.504138999999999</v>
      </c>
      <c r="V51" s="260">
        <v>21.534046999999997</v>
      </c>
      <c r="W51" s="260">
        <v>21.563834</v>
      </c>
      <c r="X51" s="260">
        <v>21.593498999999998</v>
      </c>
      <c r="Y51" s="260">
        <v>21.623042999999999</v>
      </c>
      <c r="Z51" s="260">
        <v>21.652466</v>
      </c>
      <c r="AA51" s="260">
        <v>21.681766</v>
      </c>
      <c r="AB51" s="260">
        <v>21.710944999999999</v>
      </c>
      <c r="AC51" s="260">
        <v>21.740000999999999</v>
      </c>
      <c r="AD51" s="260">
        <v>21.768933999999998</v>
      </c>
      <c r="AE51" s="260">
        <v>21.797744999999999</v>
      </c>
      <c r="AF51" s="260">
        <v>21.826432999999998</v>
      </c>
      <c r="AG51" s="260">
        <v>21.854997999999998</v>
      </c>
      <c r="AH51" s="260">
        <v>21.883438999999999</v>
      </c>
      <c r="AI51" s="260">
        <v>21.911756999999998</v>
      </c>
      <c r="AJ51" s="260">
        <v>21.939951000000001</v>
      </c>
      <c r="AK51" s="260">
        <v>21.968021999999998</v>
      </c>
      <c r="AL51" s="260">
        <v>21.995967999999998</v>
      </c>
      <c r="AM51" s="260">
        <v>22.023789999999998</v>
      </c>
      <c r="AN51" s="260">
        <v>22.051489</v>
      </c>
      <c r="AO51" s="260">
        <v>22.079062</v>
      </c>
      <c r="AP51" s="260">
        <v>22.106511999999999</v>
      </c>
      <c r="AQ51" s="260">
        <v>22.133837</v>
      </c>
      <c r="AR51" s="260">
        <v>22.161037</v>
      </c>
      <c r="AS51" s="260">
        <v>22.188112</v>
      </c>
      <c r="AT51" s="260">
        <v>22.215063000000001</v>
      </c>
      <c r="AU51" s="260">
        <v>22.241889</v>
      </c>
      <c r="AV51" s="260">
        <v>22.268588999999999</v>
      </c>
      <c r="AW51" s="260">
        <v>22.295164999999997</v>
      </c>
      <c r="AX51" s="260">
        <v>22.321615999999999</v>
      </c>
      <c r="AY51" s="260">
        <v>22.347942</v>
      </c>
      <c r="AZ51" s="260">
        <v>22.374143</v>
      </c>
      <c r="BA51" s="260">
        <v>22.400219</v>
      </c>
      <c r="BB51" s="260">
        <v>22.426168999999998</v>
      </c>
      <c r="BC51" s="260">
        <v>22.451995</v>
      </c>
      <c r="BD51" s="260">
        <v>22.477695999999998</v>
      </c>
      <c r="BE51" s="260">
        <v>22.503270999999998</v>
      </c>
      <c r="BF51" s="260">
        <v>22.528721999999998</v>
      </c>
      <c r="BG51" s="260">
        <v>22.554047000000001</v>
      </c>
      <c r="BH51" s="260">
        <v>22.579248</v>
      </c>
      <c r="BI51" s="260">
        <v>22.604323999999998</v>
      </c>
      <c r="BJ51" s="260">
        <v>22.629275</v>
      </c>
      <c r="BK51" s="260">
        <v>22.654101999999998</v>
      </c>
      <c r="BL51" s="260">
        <v>22.678802999999998</v>
      </c>
      <c r="BM51" s="260">
        <v>22.703381</v>
      </c>
      <c r="BN51" s="260">
        <v>22.727833999999998</v>
      </c>
      <c r="BO51" s="260">
        <v>22.752161999999998</v>
      </c>
      <c r="BP51" s="260">
        <v>22.776365999999999</v>
      </c>
      <c r="BQ51" s="260">
        <v>22.800446999999998</v>
      </c>
      <c r="BR51" s="260">
        <v>22.824403</v>
      </c>
      <c r="BS51" s="260">
        <v>22.848234999999999</v>
      </c>
      <c r="BT51" s="260">
        <v>22.871943999999999</v>
      </c>
      <c r="BU51" s="260">
        <v>22.895529</v>
      </c>
      <c r="BV51" s="260">
        <v>22.918990999999998</v>
      </c>
      <c r="BW51" s="260">
        <v>22.942328999999997</v>
      </c>
      <c r="BX51" s="260">
        <v>22.965544999999999</v>
      </c>
      <c r="BY51" s="260">
        <v>22.988637000000001</v>
      </c>
      <c r="BZ51" s="260">
        <v>23.011606999999998</v>
      </c>
      <c r="CA51" s="260">
        <v>23.034454</v>
      </c>
      <c r="CB51" s="260">
        <v>23.057178999999998</v>
      </c>
      <c r="CC51" s="260">
        <v>23.079782999999999</v>
      </c>
      <c r="CD51" s="260">
        <v>23.102263999999998</v>
      </c>
      <c r="CE51" s="260">
        <v>23.124623</v>
      </c>
      <c r="CF51" s="260">
        <v>23.146860999999998</v>
      </c>
      <c r="CG51" s="260">
        <v>23.168977999999999</v>
      </c>
      <c r="CH51" s="260">
        <v>23.190974000000001</v>
      </c>
    </row>
    <row r="52" spans="1:86" x14ac:dyDescent="0.25">
      <c r="A52" s="170">
        <v>1</v>
      </c>
      <c r="B52" s="170">
        <v>51</v>
      </c>
      <c r="C52" s="259">
        <v>20.509754180908203</v>
      </c>
      <c r="D52" s="259">
        <v>20.565601348876953</v>
      </c>
      <c r="E52" s="259">
        <v>20.620681762695313</v>
      </c>
      <c r="F52" s="259">
        <v>20.67500114440918</v>
      </c>
      <c r="G52" s="259">
        <v>20.72857666015625</v>
      </c>
      <c r="H52" s="259">
        <v>20.781415939331055</v>
      </c>
      <c r="I52" s="260">
        <v>20.788224</v>
      </c>
      <c r="J52" s="260">
        <v>20.822004</v>
      </c>
      <c r="K52" s="260">
        <v>20.855266</v>
      </c>
      <c r="L52" s="260">
        <v>20.888072999999999</v>
      </c>
      <c r="M52" s="260">
        <v>20.920483999999998</v>
      </c>
      <c r="N52" s="260">
        <v>20.952555</v>
      </c>
      <c r="O52" s="260">
        <v>20.984332999999999</v>
      </c>
      <c r="P52" s="260">
        <v>21.01586</v>
      </c>
      <c r="Q52" s="260">
        <v>21.047173000000001</v>
      </c>
      <c r="R52" s="260">
        <v>21.078301</v>
      </c>
      <c r="S52" s="260">
        <v>21.109268</v>
      </c>
      <c r="T52" s="260">
        <v>21.140090999999998</v>
      </c>
      <c r="U52" s="260">
        <v>21.170783999999998</v>
      </c>
      <c r="V52" s="260">
        <v>21.201352999999997</v>
      </c>
      <c r="W52" s="260">
        <v>21.231801000000001</v>
      </c>
      <c r="X52" s="260">
        <v>21.262127</v>
      </c>
      <c r="Y52" s="260">
        <v>21.292331000000001</v>
      </c>
      <c r="Z52" s="260">
        <v>21.322412999999997</v>
      </c>
      <c r="AA52" s="260">
        <v>21.352373</v>
      </c>
      <c r="AB52" s="260">
        <v>21.382210000000001</v>
      </c>
      <c r="AC52" s="260">
        <v>21.411923999999999</v>
      </c>
      <c r="AD52" s="260">
        <v>21.441514999999999</v>
      </c>
      <c r="AE52" s="260">
        <v>21.470981999999999</v>
      </c>
      <c r="AF52" s="260">
        <v>21.500325</v>
      </c>
      <c r="AG52" s="260">
        <v>21.529544999999999</v>
      </c>
      <c r="AH52" s="260">
        <v>21.55864</v>
      </c>
      <c r="AI52" s="260">
        <v>21.587612</v>
      </c>
      <c r="AJ52" s="260">
        <v>21.616457999999998</v>
      </c>
      <c r="AK52" s="260">
        <v>21.64518</v>
      </c>
      <c r="AL52" s="260">
        <v>21.673776999999998</v>
      </c>
      <c r="AM52" s="260">
        <v>21.702248999999998</v>
      </c>
      <c r="AN52" s="260">
        <v>21.730594999999997</v>
      </c>
      <c r="AO52" s="260">
        <v>21.758815999999999</v>
      </c>
      <c r="AP52" s="260">
        <v>21.786911999999997</v>
      </c>
      <c r="AQ52" s="260">
        <v>21.814882000000001</v>
      </c>
      <c r="AR52" s="260">
        <v>21.842725999999999</v>
      </c>
      <c r="AS52" s="260">
        <v>21.870445</v>
      </c>
      <c r="AT52" s="260">
        <v>21.898036999999999</v>
      </c>
      <c r="AU52" s="260">
        <v>21.925502999999999</v>
      </c>
      <c r="AV52" s="260">
        <v>21.952842999999998</v>
      </c>
      <c r="AW52" s="260">
        <v>21.980056999999999</v>
      </c>
      <c r="AX52" s="260">
        <v>22.007144999999998</v>
      </c>
      <c r="AY52" s="260">
        <v>22.034105999999998</v>
      </c>
      <c r="AZ52" s="260">
        <v>22.060941</v>
      </c>
      <c r="BA52" s="260">
        <v>22.087648999999999</v>
      </c>
      <c r="BB52" s="260">
        <v>22.114231</v>
      </c>
      <c r="BC52" s="260">
        <v>22.140685999999999</v>
      </c>
      <c r="BD52" s="260">
        <v>22.167014999999999</v>
      </c>
      <c r="BE52" s="260">
        <v>22.193217000000001</v>
      </c>
      <c r="BF52" s="260">
        <v>22.219293</v>
      </c>
      <c r="BG52" s="260">
        <v>22.245241999999998</v>
      </c>
      <c r="BH52" s="260">
        <v>22.271065</v>
      </c>
      <c r="BI52" s="260">
        <v>22.296761999999998</v>
      </c>
      <c r="BJ52" s="260">
        <v>22.322331999999999</v>
      </c>
      <c r="BK52" s="260">
        <v>22.347776</v>
      </c>
      <c r="BL52" s="260">
        <v>22.373092999999997</v>
      </c>
      <c r="BM52" s="260">
        <v>22.398284</v>
      </c>
      <c r="BN52" s="260">
        <v>22.423349999999999</v>
      </c>
      <c r="BO52" s="260">
        <v>22.448288999999999</v>
      </c>
      <c r="BP52" s="260">
        <v>22.473101999999997</v>
      </c>
      <c r="BQ52" s="260">
        <v>22.497788999999997</v>
      </c>
      <c r="BR52" s="260">
        <v>22.522351</v>
      </c>
      <c r="BS52" s="260">
        <v>22.546785999999997</v>
      </c>
      <c r="BT52" s="260">
        <v>22.571096999999998</v>
      </c>
      <c r="BU52" s="260">
        <v>22.595281999999997</v>
      </c>
      <c r="BV52" s="260">
        <v>22.619342</v>
      </c>
      <c r="BW52" s="260">
        <v>22.643276</v>
      </c>
      <c r="BX52" s="260">
        <v>22.667085999999998</v>
      </c>
      <c r="BY52" s="260">
        <v>22.690770999999998</v>
      </c>
      <c r="BZ52" s="260">
        <v>22.714330999999998</v>
      </c>
      <c r="CA52" s="260">
        <v>22.737766999999998</v>
      </c>
      <c r="CB52" s="260">
        <v>22.761078999999999</v>
      </c>
      <c r="CC52" s="260">
        <v>22.784267</v>
      </c>
      <c r="CD52" s="260">
        <v>22.807330999999998</v>
      </c>
      <c r="CE52" s="260">
        <v>22.830271</v>
      </c>
      <c r="CF52" s="260">
        <v>22.853086999999999</v>
      </c>
      <c r="CG52" s="260">
        <v>22.875781</v>
      </c>
      <c r="CH52" s="260">
        <v>22.898351999999999</v>
      </c>
    </row>
    <row r="53" spans="1:86" x14ac:dyDescent="0.25">
      <c r="A53" s="170">
        <v>1</v>
      </c>
      <c r="B53" s="170">
        <v>52</v>
      </c>
      <c r="C53" s="259">
        <v>20.131803512573242</v>
      </c>
      <c r="D53" s="259">
        <v>20.188579559326172</v>
      </c>
      <c r="E53" s="259">
        <v>20.244592666625977</v>
      </c>
      <c r="F53" s="259">
        <v>20.299854278564453</v>
      </c>
      <c r="G53" s="259">
        <v>20.354373931884766</v>
      </c>
      <c r="H53" s="259">
        <v>20.408161163330078</v>
      </c>
      <c r="I53" s="260">
        <v>20.437061</v>
      </c>
      <c r="J53" s="260">
        <v>20.471738999999999</v>
      </c>
      <c r="K53" s="260">
        <v>20.505851999999997</v>
      </c>
      <c r="L53" s="260">
        <v>20.539469</v>
      </c>
      <c r="M53" s="260">
        <v>20.572654</v>
      </c>
      <c r="N53" s="260">
        <v>20.605468999999999</v>
      </c>
      <c r="O53" s="260">
        <v>20.637965999999999</v>
      </c>
      <c r="P53" s="260">
        <v>20.670193999999999</v>
      </c>
      <c r="Q53" s="260">
        <v>20.702193999999999</v>
      </c>
      <c r="R53" s="260">
        <v>20.733999000000001</v>
      </c>
      <c r="S53" s="260">
        <v>20.765637999999999</v>
      </c>
      <c r="T53" s="260">
        <v>20.797131</v>
      </c>
      <c r="U53" s="260">
        <v>20.828491</v>
      </c>
      <c r="V53" s="260">
        <v>20.859726999999999</v>
      </c>
      <c r="W53" s="260">
        <v>20.890840999999998</v>
      </c>
      <c r="X53" s="260">
        <v>20.921834</v>
      </c>
      <c r="Y53" s="260">
        <v>20.952704000000001</v>
      </c>
      <c r="Z53" s="260">
        <v>20.983450999999999</v>
      </c>
      <c r="AA53" s="260">
        <v>21.014075999999999</v>
      </c>
      <c r="AB53" s="260">
        <v>21.044577999999998</v>
      </c>
      <c r="AC53" s="260">
        <v>21.074954999999999</v>
      </c>
      <c r="AD53" s="260">
        <v>21.105208999999999</v>
      </c>
      <c r="AE53" s="260">
        <v>21.135338999999998</v>
      </c>
      <c r="AF53" s="260">
        <v>21.165344999999999</v>
      </c>
      <c r="AG53" s="260">
        <v>21.195225999999998</v>
      </c>
      <c r="AH53" s="260">
        <v>21.224982000000001</v>
      </c>
      <c r="AI53" s="260">
        <v>21.254612999999999</v>
      </c>
      <c r="AJ53" s="260">
        <v>21.284119</v>
      </c>
      <c r="AK53" s="260">
        <v>21.313499</v>
      </c>
      <c r="AL53" s="260">
        <v>21.342752999999998</v>
      </c>
      <c r="AM53" s="260">
        <v>21.371880999999998</v>
      </c>
      <c r="AN53" s="260">
        <v>21.400883</v>
      </c>
      <c r="AO53" s="260">
        <v>21.429759000000001</v>
      </c>
      <c r="AP53" s="260">
        <v>21.458507999999998</v>
      </c>
      <c r="AQ53" s="260">
        <v>21.487130999999998</v>
      </c>
      <c r="AR53" s="260">
        <v>21.515626999999999</v>
      </c>
      <c r="AS53" s="260">
        <v>21.543994999999999</v>
      </c>
      <c r="AT53" s="260">
        <v>21.572236999999998</v>
      </c>
      <c r="AU53" s="260">
        <v>21.600351</v>
      </c>
      <c r="AV53" s="260">
        <v>21.628337999999999</v>
      </c>
      <c r="AW53" s="260">
        <v>21.656198</v>
      </c>
      <c r="AX53" s="260">
        <v>21.68393</v>
      </c>
      <c r="AY53" s="260">
        <v>21.711534</v>
      </c>
      <c r="AZ53" s="260">
        <v>21.739010999999998</v>
      </c>
      <c r="BA53" s="260">
        <v>21.766359999999999</v>
      </c>
      <c r="BB53" s="260">
        <v>21.793581</v>
      </c>
      <c r="BC53" s="260">
        <v>21.820674</v>
      </c>
      <c r="BD53" s="260">
        <v>21.847639999999998</v>
      </c>
      <c r="BE53" s="260">
        <v>21.874476999999999</v>
      </c>
      <c r="BF53" s="260">
        <v>21.901187</v>
      </c>
      <c r="BG53" s="260">
        <v>21.927768</v>
      </c>
      <c r="BH53" s="260">
        <v>21.954221</v>
      </c>
      <c r="BI53" s="260">
        <v>21.980546999999998</v>
      </c>
      <c r="BJ53" s="260">
        <v>22.006744999999999</v>
      </c>
      <c r="BK53" s="260">
        <v>22.032813999999998</v>
      </c>
      <c r="BL53" s="260">
        <v>22.058755999999999</v>
      </c>
      <c r="BM53" s="260">
        <v>22.084569999999999</v>
      </c>
      <c r="BN53" s="260">
        <v>22.110256</v>
      </c>
      <c r="BO53" s="260">
        <v>22.135814999999997</v>
      </c>
      <c r="BP53" s="260">
        <v>22.161245999999998</v>
      </c>
      <c r="BQ53" s="260">
        <v>22.186548999999999</v>
      </c>
      <c r="BR53" s="260">
        <v>22.211724999999998</v>
      </c>
      <c r="BS53" s="260">
        <v>22.236772999999999</v>
      </c>
      <c r="BT53" s="260">
        <v>22.261693999999999</v>
      </c>
      <c r="BU53" s="260">
        <v>22.286487999999999</v>
      </c>
      <c r="BV53" s="260">
        <v>22.311154999999999</v>
      </c>
      <c r="BW53" s="260">
        <v>22.335694999999998</v>
      </c>
      <c r="BX53" s="260">
        <v>22.360108</v>
      </c>
      <c r="BY53" s="260">
        <v>22.384394999999998</v>
      </c>
      <c r="BZ53" s="260">
        <v>22.408555</v>
      </c>
      <c r="CA53" s="260">
        <v>22.432589</v>
      </c>
      <c r="CB53" s="260">
        <v>22.456495999999998</v>
      </c>
      <c r="CC53" s="260">
        <v>22.480277999999998</v>
      </c>
      <c r="CD53" s="260">
        <v>22.503933999999997</v>
      </c>
      <c r="CE53" s="260">
        <v>22.527463999999998</v>
      </c>
      <c r="CF53" s="260">
        <v>22.550868999999999</v>
      </c>
      <c r="CG53" s="260">
        <v>22.574147999999997</v>
      </c>
      <c r="CH53" s="260">
        <v>22.597303</v>
      </c>
    </row>
    <row r="54" spans="1:86" x14ac:dyDescent="0.25">
      <c r="A54" s="170">
        <v>1</v>
      </c>
      <c r="B54" s="170">
        <v>53</v>
      </c>
      <c r="C54" s="259">
        <v>19.742944717407227</v>
      </c>
      <c r="D54" s="259">
        <v>19.800628662109375</v>
      </c>
      <c r="E54" s="259">
        <v>19.85755729675293</v>
      </c>
      <c r="F54" s="259">
        <v>19.913740158081055</v>
      </c>
      <c r="G54" s="259">
        <v>19.96919059753418</v>
      </c>
      <c r="H54" s="259">
        <v>20.02391242980957</v>
      </c>
      <c r="I54" s="260">
        <v>20.075953999999999</v>
      </c>
      <c r="J54" s="260">
        <v>20.111564999999999</v>
      </c>
      <c r="K54" s="260">
        <v>20.146561999999999</v>
      </c>
      <c r="L54" s="260">
        <v>20.181017000000001</v>
      </c>
      <c r="M54" s="260">
        <v>20.215002999999999</v>
      </c>
      <c r="N54" s="260">
        <v>20.248583999999997</v>
      </c>
      <c r="O54" s="260">
        <v>20.28182</v>
      </c>
      <c r="P54" s="260">
        <v>20.314765999999999</v>
      </c>
      <c r="Q54" s="260">
        <v>20.347466999999998</v>
      </c>
      <c r="R54" s="260">
        <v>20.379963</v>
      </c>
      <c r="S54" s="260">
        <v>20.412285000000001</v>
      </c>
      <c r="T54" s="260">
        <v>20.444455999999999</v>
      </c>
      <c r="U54" s="260">
        <v>20.476493999999999</v>
      </c>
      <c r="V54" s="260">
        <v>20.508406999999998</v>
      </c>
      <c r="W54" s="260">
        <v>20.540198</v>
      </c>
      <c r="X54" s="260">
        <v>20.571866999999997</v>
      </c>
      <c r="Y54" s="260">
        <v>20.603413</v>
      </c>
      <c r="Z54" s="260">
        <v>20.634836</v>
      </c>
      <c r="AA54" s="260">
        <v>20.666135999999998</v>
      </c>
      <c r="AB54" s="260">
        <v>20.697312</v>
      </c>
      <c r="AC54" s="260">
        <v>20.728363999999999</v>
      </c>
      <c r="AD54" s="260">
        <v>20.759291999999999</v>
      </c>
      <c r="AE54" s="260">
        <v>20.790094999999997</v>
      </c>
      <c r="AF54" s="260">
        <v>20.820774</v>
      </c>
      <c r="AG54" s="260">
        <v>20.851326999999998</v>
      </c>
      <c r="AH54" s="260">
        <v>20.881754000000001</v>
      </c>
      <c r="AI54" s="260">
        <v>20.912056</v>
      </c>
      <c r="AJ54" s="260">
        <v>20.942231</v>
      </c>
      <c r="AK54" s="260">
        <v>20.972279999999998</v>
      </c>
      <c r="AL54" s="260">
        <v>21.002202999999998</v>
      </c>
      <c r="AM54" s="260">
        <v>21.031998999999999</v>
      </c>
      <c r="AN54" s="260">
        <v>21.061667</v>
      </c>
      <c r="AO54" s="260">
        <v>21.091208999999999</v>
      </c>
      <c r="AP54" s="260">
        <v>21.120622999999998</v>
      </c>
      <c r="AQ54" s="260">
        <v>21.149908999999997</v>
      </c>
      <c r="AR54" s="260">
        <v>21.179067999999997</v>
      </c>
      <c r="AS54" s="260">
        <v>21.208098</v>
      </c>
      <c r="AT54" s="260">
        <v>21.236999999999998</v>
      </c>
      <c r="AU54" s="260">
        <v>21.265774</v>
      </c>
      <c r="AV54" s="260">
        <v>21.294419999999999</v>
      </c>
      <c r="AW54" s="260">
        <v>21.322935999999999</v>
      </c>
      <c r="AX54" s="260">
        <v>21.351323999999998</v>
      </c>
      <c r="AY54" s="260">
        <v>21.379583999999998</v>
      </c>
      <c r="AZ54" s="260">
        <v>21.407713999999999</v>
      </c>
      <c r="BA54" s="260">
        <v>21.435714999999998</v>
      </c>
      <c r="BB54" s="260">
        <v>21.463587</v>
      </c>
      <c r="BC54" s="260">
        <v>21.491329999999998</v>
      </c>
      <c r="BD54" s="260">
        <v>21.518943</v>
      </c>
      <c r="BE54" s="260">
        <v>21.546427999999999</v>
      </c>
      <c r="BF54" s="260">
        <v>21.573782999999999</v>
      </c>
      <c r="BG54" s="260">
        <v>21.601008</v>
      </c>
      <c r="BH54" s="260">
        <v>21.628104</v>
      </c>
      <c r="BI54" s="260">
        <v>21.655069999999998</v>
      </c>
      <c r="BJ54" s="260">
        <v>21.681906999999999</v>
      </c>
      <c r="BK54" s="260">
        <v>21.708614999999998</v>
      </c>
      <c r="BL54" s="260">
        <v>21.735192999999999</v>
      </c>
      <c r="BM54" s="260">
        <v>21.761641999999998</v>
      </c>
      <c r="BN54" s="260">
        <v>21.787960999999999</v>
      </c>
      <c r="BO54" s="260">
        <v>21.814150999999999</v>
      </c>
      <c r="BP54" s="260">
        <v>21.840211999999998</v>
      </c>
      <c r="BQ54" s="260">
        <v>21.866142999999997</v>
      </c>
      <c r="BR54" s="260">
        <v>21.891945</v>
      </c>
      <c r="BS54" s="260">
        <v>21.917617999999997</v>
      </c>
      <c r="BT54" s="260">
        <v>21.943161999999997</v>
      </c>
      <c r="BU54" s="260">
        <v>21.968577</v>
      </c>
      <c r="BV54" s="260">
        <v>21.993862999999997</v>
      </c>
      <c r="BW54" s="260">
        <v>22.019020999999999</v>
      </c>
      <c r="BX54" s="260">
        <v>22.044049999999999</v>
      </c>
      <c r="BY54" s="260">
        <v>22.068949999999997</v>
      </c>
      <c r="BZ54" s="260">
        <v>22.093722</v>
      </c>
      <c r="CA54" s="260">
        <v>22.118365999999998</v>
      </c>
      <c r="CB54" s="260">
        <v>22.142880999999999</v>
      </c>
      <c r="CC54" s="260">
        <v>22.167268999999997</v>
      </c>
      <c r="CD54" s="260">
        <v>22.191528999999999</v>
      </c>
      <c r="CE54" s="260">
        <v>22.215661999999998</v>
      </c>
      <c r="CF54" s="260">
        <v>22.239667000000001</v>
      </c>
      <c r="CG54" s="260">
        <v>22.263544</v>
      </c>
      <c r="CH54" s="260">
        <v>22.287295</v>
      </c>
    </row>
    <row r="55" spans="1:86" x14ac:dyDescent="0.25">
      <c r="A55" s="170">
        <v>1</v>
      </c>
      <c r="B55" s="170">
        <v>54</v>
      </c>
      <c r="C55" s="259">
        <v>19.34501838684082</v>
      </c>
      <c r="D55" s="259">
        <v>19.403528213500977</v>
      </c>
      <c r="E55" s="259">
        <v>19.461296081542969</v>
      </c>
      <c r="F55" s="259">
        <v>19.518327713012695</v>
      </c>
      <c r="G55" s="259">
        <v>19.574634552001953</v>
      </c>
      <c r="H55" s="259">
        <v>19.630222320556641</v>
      </c>
      <c r="I55" s="260">
        <v>19.704200999999998</v>
      </c>
      <c r="J55" s="260">
        <v>19.740786</v>
      </c>
      <c r="K55" s="260">
        <v>19.776705</v>
      </c>
      <c r="L55" s="260">
        <v>19.812034999999998</v>
      </c>
      <c r="M55" s="260">
        <v>19.846854</v>
      </c>
      <c r="N55" s="260">
        <v>19.881231</v>
      </c>
      <c r="O55" s="260">
        <v>19.915233999999998</v>
      </c>
      <c r="P55" s="260">
        <v>19.948919999999998</v>
      </c>
      <c r="Q55" s="260">
        <v>19.982343999999998</v>
      </c>
      <c r="R55" s="260">
        <v>20.015547999999999</v>
      </c>
      <c r="S55" s="260">
        <v>20.048568</v>
      </c>
      <c r="T55" s="260">
        <v>20.081433000000001</v>
      </c>
      <c r="U55" s="260">
        <v>20.114162</v>
      </c>
      <c r="V55" s="260">
        <v>20.146764999999998</v>
      </c>
      <c r="W55" s="260">
        <v>20.179245999999999</v>
      </c>
      <c r="X55" s="260">
        <v>20.211603999999998</v>
      </c>
      <c r="Y55" s="260">
        <v>20.243839999999999</v>
      </c>
      <c r="Z55" s="260">
        <v>20.275952</v>
      </c>
      <c r="AA55" s="260">
        <v>20.307939999999999</v>
      </c>
      <c r="AB55" s="260">
        <v>20.339804999999998</v>
      </c>
      <c r="AC55" s="260">
        <v>20.371544999999998</v>
      </c>
      <c r="AD55" s="260">
        <v>20.40316</v>
      </c>
      <c r="AE55" s="260">
        <v>20.434649999999998</v>
      </c>
      <c r="AF55" s="260">
        <v>20.466014999999999</v>
      </c>
      <c r="AG55" s="260">
        <v>20.497253000000001</v>
      </c>
      <c r="AH55" s="260">
        <v>20.528365999999998</v>
      </c>
      <c r="AI55" s="260">
        <v>20.559352000000001</v>
      </c>
      <c r="AJ55" s="260">
        <v>20.590211</v>
      </c>
      <c r="AK55" s="260">
        <v>20.620943</v>
      </c>
      <c r="AL55" s="260">
        <v>20.651547999999998</v>
      </c>
      <c r="AM55" s="260">
        <v>20.682024999999999</v>
      </c>
      <c r="AN55" s="260">
        <v>20.712374000000001</v>
      </c>
      <c r="AO55" s="260">
        <v>20.742594999999998</v>
      </c>
      <c r="AP55" s="260">
        <v>20.772687999999999</v>
      </c>
      <c r="AQ55" s="260">
        <v>20.802651999999998</v>
      </c>
      <c r="AR55" s="260">
        <v>20.832487</v>
      </c>
      <c r="AS55" s="260">
        <v>20.862193999999999</v>
      </c>
      <c r="AT55" s="260">
        <v>20.891770999999999</v>
      </c>
      <c r="AU55" s="260">
        <v>20.921218</v>
      </c>
      <c r="AV55" s="260">
        <v>20.950536</v>
      </c>
      <c r="AW55" s="260">
        <v>20.979723999999997</v>
      </c>
      <c r="AX55" s="260">
        <v>21.008782999999998</v>
      </c>
      <c r="AY55" s="260">
        <v>21.037710999999998</v>
      </c>
      <c r="AZ55" s="260">
        <v>21.066509</v>
      </c>
      <c r="BA55" s="260">
        <v>21.095177</v>
      </c>
      <c r="BB55" s="260">
        <v>21.123714</v>
      </c>
      <c r="BC55" s="260">
        <v>21.15212</v>
      </c>
      <c r="BD55" s="260">
        <v>21.180396999999999</v>
      </c>
      <c r="BE55" s="260">
        <v>21.208541999999998</v>
      </c>
      <c r="BF55" s="260">
        <v>21.236556</v>
      </c>
      <c r="BG55" s="260">
        <v>21.26444</v>
      </c>
      <c r="BH55" s="260">
        <v>21.292192999999997</v>
      </c>
      <c r="BI55" s="260">
        <v>21.319814999999998</v>
      </c>
      <c r="BJ55" s="260">
        <v>21.347306</v>
      </c>
      <c r="BK55" s="260">
        <v>21.374665</v>
      </c>
      <c r="BL55" s="260">
        <v>21.401893999999999</v>
      </c>
      <c r="BM55" s="260">
        <v>21.428991999999997</v>
      </c>
      <c r="BN55" s="260">
        <v>21.455959</v>
      </c>
      <c r="BO55" s="260">
        <v>21.482793999999998</v>
      </c>
      <c r="BP55" s="260">
        <v>21.509498999999998</v>
      </c>
      <c r="BQ55" s="260">
        <v>21.536072999999998</v>
      </c>
      <c r="BR55" s="260">
        <v>21.562515999999999</v>
      </c>
      <c r="BS55" s="260">
        <v>21.588827999999999</v>
      </c>
      <c r="BT55" s="260">
        <v>21.615009000000001</v>
      </c>
      <c r="BU55" s="260">
        <v>21.64106</v>
      </c>
      <c r="BV55" s="260">
        <v>21.666978999999998</v>
      </c>
      <c r="BW55" s="260">
        <v>21.692768999999998</v>
      </c>
      <c r="BX55" s="260">
        <v>21.718426999999998</v>
      </c>
      <c r="BY55" s="260">
        <v>21.743956000000001</v>
      </c>
      <c r="BZ55" s="260">
        <v>21.769354</v>
      </c>
      <c r="CA55" s="260">
        <v>21.794622</v>
      </c>
      <c r="CB55" s="260">
        <v>21.819759999999999</v>
      </c>
      <c r="CC55" s="260">
        <v>21.844768999999999</v>
      </c>
      <c r="CD55" s="260">
        <v>21.869647000000001</v>
      </c>
      <c r="CE55" s="260">
        <v>21.894396</v>
      </c>
      <c r="CF55" s="260">
        <v>21.919015999999999</v>
      </c>
      <c r="CG55" s="260">
        <v>21.943505999999999</v>
      </c>
      <c r="CH55" s="260">
        <v>21.967867999999999</v>
      </c>
    </row>
    <row r="56" spans="1:86" x14ac:dyDescent="0.25">
      <c r="A56" s="170">
        <v>1</v>
      </c>
      <c r="B56" s="170">
        <v>55</v>
      </c>
      <c r="C56" s="259">
        <v>18.93925666809082</v>
      </c>
      <c r="D56" s="259">
        <v>18.998472213745117</v>
      </c>
      <c r="E56" s="259">
        <v>19.056955337524414</v>
      </c>
      <c r="F56" s="259">
        <v>19.114719390869141</v>
      </c>
      <c r="G56" s="259">
        <v>19.171772003173828</v>
      </c>
      <c r="H56" s="259">
        <v>19.228120803833008</v>
      </c>
      <c r="I56" s="260">
        <v>19.326798</v>
      </c>
      <c r="J56" s="260">
        <v>19.364321999999998</v>
      </c>
      <c r="K56" s="260">
        <v>19.401128</v>
      </c>
      <c r="L56" s="260">
        <v>19.437300999999998</v>
      </c>
      <c r="M56" s="260">
        <v>19.472922000000001</v>
      </c>
      <c r="N56" s="260">
        <v>19.508067</v>
      </c>
      <c r="O56" s="260">
        <v>19.542807</v>
      </c>
      <c r="P56" s="260">
        <v>19.577207999999999</v>
      </c>
      <c r="Q56" s="260">
        <v>19.611326999999999</v>
      </c>
      <c r="R56" s="260">
        <v>19.645212000000001</v>
      </c>
      <c r="S56" s="260">
        <v>19.678905999999998</v>
      </c>
      <c r="T56" s="260">
        <v>19.712437999999999</v>
      </c>
      <c r="U56" s="260">
        <v>19.745832</v>
      </c>
      <c r="V56" s="260">
        <v>19.7791</v>
      </c>
      <c r="W56" s="260">
        <v>19.812245000000001</v>
      </c>
      <c r="X56" s="260">
        <v>19.845268999999998</v>
      </c>
      <c r="Y56" s="260">
        <v>19.878169</v>
      </c>
      <c r="Z56" s="260">
        <v>19.910947</v>
      </c>
      <c r="AA56" s="260">
        <v>19.9436</v>
      </c>
      <c r="AB56" s="260">
        <v>19.976129999999998</v>
      </c>
      <c r="AC56" s="260">
        <v>20.008533999999997</v>
      </c>
      <c r="AD56" s="260">
        <v>20.040813999999997</v>
      </c>
      <c r="AE56" s="260">
        <v>20.072969000000001</v>
      </c>
      <c r="AF56" s="260">
        <v>20.104996999999997</v>
      </c>
      <c r="AG56" s="260">
        <v>20.136900000000001</v>
      </c>
      <c r="AH56" s="260">
        <v>20.168675999999998</v>
      </c>
      <c r="AI56" s="260">
        <v>20.200324999999999</v>
      </c>
      <c r="AJ56" s="260">
        <v>20.231846999999998</v>
      </c>
      <c r="AK56" s="260">
        <v>20.263241999999998</v>
      </c>
      <c r="AL56" s="260">
        <v>20.294508</v>
      </c>
      <c r="AM56" s="260">
        <v>20.325647</v>
      </c>
      <c r="AN56" s="260">
        <v>20.356656999999998</v>
      </c>
      <c r="AO56" s="260">
        <v>20.387537999999999</v>
      </c>
      <c r="AP56" s="260">
        <v>20.418291</v>
      </c>
      <c r="AQ56" s="260">
        <v>20.448913999999998</v>
      </c>
      <c r="AR56" s="260">
        <v>20.479406999999998</v>
      </c>
      <c r="AS56" s="260">
        <v>20.509771000000001</v>
      </c>
      <c r="AT56" s="260">
        <v>20.540005000000001</v>
      </c>
      <c r="AU56" s="260">
        <v>20.570107999999998</v>
      </c>
      <c r="AV56" s="260">
        <v>20.600080999999999</v>
      </c>
      <c r="AW56" s="260">
        <v>20.629922999999998</v>
      </c>
      <c r="AX56" s="260">
        <v>20.659634999999998</v>
      </c>
      <c r="AY56" s="260">
        <v>20.689215000000001</v>
      </c>
      <c r="AZ56" s="260">
        <v>20.718664999999998</v>
      </c>
      <c r="BA56" s="260">
        <v>20.747982999999998</v>
      </c>
      <c r="BB56" s="260">
        <v>20.777169000000001</v>
      </c>
      <c r="BC56" s="260">
        <v>20.806224</v>
      </c>
      <c r="BD56" s="260">
        <v>20.835146999999999</v>
      </c>
      <c r="BE56" s="260">
        <v>20.863938999999998</v>
      </c>
      <c r="BF56" s="260">
        <v>20.892598</v>
      </c>
      <c r="BG56" s="260">
        <v>20.921125</v>
      </c>
      <c r="BH56" s="260">
        <v>20.949521000000001</v>
      </c>
      <c r="BI56" s="260">
        <v>20.977782999999999</v>
      </c>
      <c r="BJ56" s="260">
        <v>21.005914000000001</v>
      </c>
      <c r="BK56" s="260">
        <v>21.033911999999997</v>
      </c>
      <c r="BL56" s="260">
        <v>21.061778</v>
      </c>
      <c r="BM56" s="260">
        <v>21.089511999999999</v>
      </c>
      <c r="BN56" s="260">
        <v>21.117113</v>
      </c>
      <c r="BO56" s="260">
        <v>21.144582</v>
      </c>
      <c r="BP56" s="260">
        <v>21.171917999999998</v>
      </c>
      <c r="BQ56" s="260">
        <v>21.199121999999999</v>
      </c>
      <c r="BR56" s="260">
        <v>21.226192999999999</v>
      </c>
      <c r="BS56" s="260">
        <v>21.253132000000001</v>
      </c>
      <c r="BT56" s="260">
        <v>21.279938999999999</v>
      </c>
      <c r="BU56" s="260">
        <v>21.306614</v>
      </c>
      <c r="BV56" s="260">
        <v>21.333155999999999</v>
      </c>
      <c r="BW56" s="260">
        <v>21.359565999999997</v>
      </c>
      <c r="BX56" s="260">
        <v>21.385843999999999</v>
      </c>
      <c r="BY56" s="260">
        <v>21.411988999999998</v>
      </c>
      <c r="BZ56" s="260">
        <v>21.438002999999998</v>
      </c>
      <c r="CA56" s="260">
        <v>21.463884999999998</v>
      </c>
      <c r="CB56" s="260">
        <v>21.489635999999997</v>
      </c>
      <c r="CC56" s="260">
        <v>21.515255</v>
      </c>
      <c r="CD56" s="260">
        <v>21.540741999999998</v>
      </c>
      <c r="CE56" s="260">
        <v>21.566098</v>
      </c>
      <c r="CF56" s="260">
        <v>21.591322999999999</v>
      </c>
      <c r="CG56" s="260">
        <v>21.616415999999997</v>
      </c>
      <c r="CH56" s="260">
        <v>21.641379000000001</v>
      </c>
    </row>
    <row r="57" spans="1:86" x14ac:dyDescent="0.25">
      <c r="A57" s="170">
        <v>1</v>
      </c>
      <c r="B57" s="170">
        <v>56</v>
      </c>
      <c r="C57" s="259">
        <v>18.527057647705078</v>
      </c>
      <c r="D57" s="259">
        <v>18.586889266967773</v>
      </c>
      <c r="E57" s="259">
        <v>18.646005630493164</v>
      </c>
      <c r="F57" s="259">
        <v>18.704418182373047</v>
      </c>
      <c r="G57" s="259">
        <v>18.76213264465332</v>
      </c>
      <c r="H57" s="259">
        <v>18.819156646728516</v>
      </c>
      <c r="I57" s="260">
        <v>18.943206999999997</v>
      </c>
      <c r="J57" s="260">
        <v>18.981631</v>
      </c>
      <c r="K57" s="260">
        <v>19.019289999999998</v>
      </c>
      <c r="L57" s="260">
        <v>19.056272</v>
      </c>
      <c r="M57" s="260">
        <v>19.092665</v>
      </c>
      <c r="N57" s="260">
        <v>19.128550000000001</v>
      </c>
      <c r="O57" s="260">
        <v>19.164002</v>
      </c>
      <c r="P57" s="260">
        <v>19.199090999999999</v>
      </c>
      <c r="Q57" s="260">
        <v>19.233881</v>
      </c>
      <c r="R57" s="260">
        <v>19.268424</v>
      </c>
      <c r="S57" s="260">
        <v>19.302766999999999</v>
      </c>
      <c r="T57" s="260">
        <v>19.336943999999999</v>
      </c>
      <c r="U57" s="260">
        <v>19.370978999999998</v>
      </c>
      <c r="V57" s="260">
        <v>19.404889000000001</v>
      </c>
      <c r="W57" s="260">
        <v>19.438677999999999</v>
      </c>
      <c r="X57" s="260">
        <v>19.472344</v>
      </c>
      <c r="Y57" s="260">
        <v>19.505887999999999</v>
      </c>
      <c r="Z57" s="260">
        <v>19.539308999999999</v>
      </c>
      <c r="AA57" s="260">
        <v>19.572606</v>
      </c>
      <c r="AB57" s="260">
        <v>19.605779999999999</v>
      </c>
      <c r="AC57" s="260">
        <v>19.638828999999998</v>
      </c>
      <c r="AD57" s="260">
        <v>19.671752999999999</v>
      </c>
      <c r="AE57" s="260">
        <v>19.704552</v>
      </c>
      <c r="AF57" s="260">
        <v>19.737224999999999</v>
      </c>
      <c r="AG57" s="260">
        <v>19.769772</v>
      </c>
      <c r="AH57" s="260">
        <v>19.802192999999999</v>
      </c>
      <c r="AI57" s="260">
        <v>19.834486999999999</v>
      </c>
      <c r="AJ57" s="260">
        <v>19.866652999999999</v>
      </c>
      <c r="AK57" s="260">
        <v>19.898692</v>
      </c>
      <c r="AL57" s="260">
        <v>19.930602</v>
      </c>
      <c r="AM57" s="260">
        <v>19.962384999999998</v>
      </c>
      <c r="AN57" s="260">
        <v>19.994038</v>
      </c>
      <c r="AO57" s="260">
        <v>20.025562999999998</v>
      </c>
      <c r="AP57" s="260">
        <v>20.056957999999998</v>
      </c>
      <c r="AQ57" s="260">
        <v>20.088222999999999</v>
      </c>
      <c r="AR57" s="260">
        <v>20.119357999999998</v>
      </c>
      <c r="AS57" s="260">
        <v>20.150362999999999</v>
      </c>
      <c r="AT57" s="260">
        <v>20.181238</v>
      </c>
      <c r="AU57" s="260">
        <v>20.211981999999999</v>
      </c>
      <c r="AV57" s="260">
        <v>20.242594999999998</v>
      </c>
      <c r="AW57" s="260">
        <v>20.273076</v>
      </c>
      <c r="AX57" s="260">
        <v>20.303425999999998</v>
      </c>
      <c r="AY57" s="260">
        <v>20.333644</v>
      </c>
      <c r="AZ57" s="260">
        <v>20.363730999999998</v>
      </c>
      <c r="BA57" s="260">
        <v>20.393684999999998</v>
      </c>
      <c r="BB57" s="260">
        <v>20.423507000000001</v>
      </c>
      <c r="BC57" s="260">
        <v>20.453195999999998</v>
      </c>
      <c r="BD57" s="260">
        <v>20.482752999999999</v>
      </c>
      <c r="BE57" s="260">
        <v>20.512176999999998</v>
      </c>
      <c r="BF57" s="260">
        <v>20.541467999999998</v>
      </c>
      <c r="BG57" s="260">
        <v>20.570626000000001</v>
      </c>
      <c r="BH57" s="260">
        <v>20.599650999999998</v>
      </c>
      <c r="BI57" s="260">
        <v>20.628543000000001</v>
      </c>
      <c r="BJ57" s="260">
        <v>20.657301</v>
      </c>
      <c r="BK57" s="260">
        <v>20.685925999999998</v>
      </c>
      <c r="BL57" s="260">
        <v>20.714417999999998</v>
      </c>
      <c r="BM57" s="260">
        <v>20.742775999999999</v>
      </c>
      <c r="BN57" s="260">
        <v>20.771000000000001</v>
      </c>
      <c r="BO57" s="260">
        <v>20.799091000000001</v>
      </c>
      <c r="BP57" s="260">
        <v>20.827047999999998</v>
      </c>
      <c r="BQ57" s="260">
        <v>20.854870999999999</v>
      </c>
      <c r="BR57" s="260">
        <v>20.882559999999998</v>
      </c>
      <c r="BS57" s="260">
        <v>20.910115999999999</v>
      </c>
      <c r="BT57" s="260">
        <v>20.937538</v>
      </c>
      <c r="BU57" s="260">
        <v>20.964827</v>
      </c>
      <c r="BV57" s="260">
        <v>20.991982</v>
      </c>
      <c r="BW57" s="260">
        <v>21.019002999999998</v>
      </c>
      <c r="BX57" s="260">
        <v>21.045890999999997</v>
      </c>
      <c r="BY57" s="260">
        <v>21.072644999999998</v>
      </c>
      <c r="BZ57" s="260">
        <v>21.099264999999999</v>
      </c>
      <c r="CA57" s="260">
        <v>21.125753</v>
      </c>
      <c r="CB57" s="260">
        <v>21.152106999999997</v>
      </c>
      <c r="CC57" s="260">
        <v>21.178328</v>
      </c>
      <c r="CD57" s="260">
        <v>21.204415999999998</v>
      </c>
      <c r="CE57" s="260">
        <v>21.230370000000001</v>
      </c>
      <c r="CF57" s="260">
        <v>21.256193</v>
      </c>
      <c r="CG57" s="260">
        <v>21.281882</v>
      </c>
      <c r="CH57" s="260">
        <v>21.307438999999999</v>
      </c>
    </row>
    <row r="58" spans="1:86" x14ac:dyDescent="0.25">
      <c r="A58" s="170">
        <v>1</v>
      </c>
      <c r="B58" s="170">
        <v>57</v>
      </c>
      <c r="C58" s="259">
        <v>18.108081817626953</v>
      </c>
      <c r="D58" s="259">
        <v>18.168367385864258</v>
      </c>
      <c r="E58" s="259">
        <v>18.227962493896484</v>
      </c>
      <c r="F58" s="259">
        <v>18.286869049072266</v>
      </c>
      <c r="G58" s="259">
        <v>18.345100402832031</v>
      </c>
      <c r="H58" s="259">
        <v>18.402658462524414</v>
      </c>
      <c r="I58" s="260">
        <v>18.553061</v>
      </c>
      <c r="J58" s="260">
        <v>18.592348999999999</v>
      </c>
      <c r="K58" s="260">
        <v>18.630824</v>
      </c>
      <c r="L58" s="260">
        <v>18.668582000000001</v>
      </c>
      <c r="M58" s="260">
        <v>18.705714</v>
      </c>
      <c r="N58" s="260">
        <v>18.742308999999999</v>
      </c>
      <c r="O58" s="260">
        <v>18.778444999999998</v>
      </c>
      <c r="P58" s="260">
        <v>18.814197999999998</v>
      </c>
      <c r="Q58" s="260">
        <v>18.849634999999999</v>
      </c>
      <c r="R58" s="260">
        <v>18.884812999999998</v>
      </c>
      <c r="S58" s="260">
        <v>18.919782999999999</v>
      </c>
      <c r="T58" s="260">
        <v>18.954581999999998</v>
      </c>
      <c r="U58" s="260">
        <v>18.989238</v>
      </c>
      <c r="V58" s="260">
        <v>19.023768999999998</v>
      </c>
      <c r="W58" s="260">
        <v>19.058178999999999</v>
      </c>
      <c r="X58" s="260">
        <v>19.092466999999999</v>
      </c>
      <c r="Y58" s="260">
        <v>19.126633999999999</v>
      </c>
      <c r="Z58" s="260">
        <v>19.160678999999998</v>
      </c>
      <c r="AA58" s="260">
        <v>19.194599999999998</v>
      </c>
      <c r="AB58" s="260">
        <v>19.228397999999999</v>
      </c>
      <c r="AC58" s="260">
        <v>19.262072</v>
      </c>
      <c r="AD58" s="260">
        <v>19.295621999999998</v>
      </c>
      <c r="AE58" s="260">
        <v>19.329046999999999</v>
      </c>
      <c r="AF58" s="260">
        <v>19.362345999999999</v>
      </c>
      <c r="AG58" s="260">
        <v>19.395519999999998</v>
      </c>
      <c r="AH58" s="260">
        <v>19.428566999999997</v>
      </c>
      <c r="AI58" s="260">
        <v>19.461487999999999</v>
      </c>
      <c r="AJ58" s="260">
        <v>19.494281000000001</v>
      </c>
      <c r="AK58" s="260">
        <v>19.526947</v>
      </c>
      <c r="AL58" s="260">
        <v>19.559484999999999</v>
      </c>
      <c r="AM58" s="260">
        <v>19.591894</v>
      </c>
      <c r="AN58" s="260">
        <v>19.624174999999997</v>
      </c>
      <c r="AO58" s="260">
        <v>19.656326</v>
      </c>
      <c r="AP58" s="260">
        <v>19.688347999999998</v>
      </c>
      <c r="AQ58" s="260">
        <v>19.72024</v>
      </c>
      <c r="AR58" s="260">
        <v>19.752001999999997</v>
      </c>
      <c r="AS58" s="260">
        <v>19.783633999999999</v>
      </c>
      <c r="AT58" s="260">
        <v>19.815134</v>
      </c>
      <c r="AU58" s="260">
        <v>19.846503999999999</v>
      </c>
      <c r="AV58" s="260">
        <v>19.877741999999998</v>
      </c>
      <c r="AW58" s="260">
        <v>19.908847999999999</v>
      </c>
      <c r="AX58" s="260">
        <v>19.939823000000001</v>
      </c>
      <c r="AY58" s="260">
        <v>19.970665</v>
      </c>
      <c r="AZ58" s="260">
        <v>20.001374999999999</v>
      </c>
      <c r="BA58" s="260">
        <v>20.031952</v>
      </c>
      <c r="BB58" s="260">
        <v>20.062397000000001</v>
      </c>
      <c r="BC58" s="260">
        <v>20.092707999999998</v>
      </c>
      <c r="BD58" s="260">
        <v>20.122885999999998</v>
      </c>
      <c r="BE58" s="260">
        <v>20.152930999999999</v>
      </c>
      <c r="BF58" s="260">
        <v>20.182841</v>
      </c>
      <c r="BG58" s="260">
        <v>20.212619</v>
      </c>
      <c r="BH58" s="260">
        <v>20.242262</v>
      </c>
      <c r="BI58" s="260">
        <v>20.271770999999998</v>
      </c>
      <c r="BJ58" s="260">
        <v>20.301145999999999</v>
      </c>
      <c r="BK58" s="260">
        <v>20.330386000000001</v>
      </c>
      <c r="BL58" s="260">
        <v>20.359491999999999</v>
      </c>
      <c r="BM58" s="260">
        <v>20.388463999999999</v>
      </c>
      <c r="BN58" s="260">
        <v>20.417300999999998</v>
      </c>
      <c r="BO58" s="260">
        <v>20.446002999999997</v>
      </c>
      <c r="BP58" s="260">
        <v>20.474570999999997</v>
      </c>
      <c r="BQ58" s="260">
        <v>20.503004000000001</v>
      </c>
      <c r="BR58" s="260">
        <v>20.531302</v>
      </c>
      <c r="BS58" s="260">
        <v>20.559464999999999</v>
      </c>
      <c r="BT58" s="260">
        <v>20.587492999999998</v>
      </c>
      <c r="BU58" s="260">
        <v>20.615386999999998</v>
      </c>
      <c r="BV58" s="260">
        <v>20.643145000000001</v>
      </c>
      <c r="BW58" s="260">
        <v>20.670769</v>
      </c>
      <c r="BX58" s="260">
        <v>20.698257999999999</v>
      </c>
      <c r="BY58" s="260">
        <v>20.725611999999998</v>
      </c>
      <c r="BZ58" s="260">
        <v>20.752831</v>
      </c>
      <c r="CA58" s="260">
        <v>20.779916</v>
      </c>
      <c r="CB58" s="260">
        <v>20.806865999999999</v>
      </c>
      <c r="CC58" s="260">
        <v>20.833680999999999</v>
      </c>
      <c r="CD58" s="260">
        <v>20.860361999999999</v>
      </c>
      <c r="CE58" s="260">
        <v>20.886907999999998</v>
      </c>
      <c r="CF58" s="260">
        <v>20.913319999999999</v>
      </c>
      <c r="CG58" s="260">
        <v>20.939598</v>
      </c>
      <c r="CH58" s="260">
        <v>20.965741999999999</v>
      </c>
    </row>
    <row r="59" spans="1:86" x14ac:dyDescent="0.25">
      <c r="A59" s="170">
        <v>1</v>
      </c>
      <c r="B59" s="170">
        <v>58</v>
      </c>
      <c r="C59" s="259">
        <v>17.682394027709961</v>
      </c>
      <c r="D59" s="259">
        <v>17.742963790893555</v>
      </c>
      <c r="E59" s="259">
        <v>17.802865982055664</v>
      </c>
      <c r="F59" s="259">
        <v>17.86210823059082</v>
      </c>
      <c r="G59" s="259">
        <v>17.920696258544922</v>
      </c>
      <c r="H59" s="259">
        <v>17.978635787963867</v>
      </c>
      <c r="I59" s="260">
        <v>18.156110999999999</v>
      </c>
      <c r="J59" s="260">
        <v>18.196224999999998</v>
      </c>
      <c r="K59" s="260">
        <v>18.235478999999998</v>
      </c>
      <c r="L59" s="260">
        <v>18.273976999999999</v>
      </c>
      <c r="M59" s="260">
        <v>18.311816</v>
      </c>
      <c r="N59" s="260">
        <v>18.349088999999999</v>
      </c>
      <c r="O59" s="260">
        <v>18.385880999999998</v>
      </c>
      <c r="P59" s="260">
        <v>18.422272</v>
      </c>
      <c r="Q59" s="260">
        <v>18.458330999999998</v>
      </c>
      <c r="R59" s="260">
        <v>18.494121</v>
      </c>
      <c r="S59" s="260">
        <v>18.529695</v>
      </c>
      <c r="T59" s="260">
        <v>18.565094999999999</v>
      </c>
      <c r="U59" s="260">
        <v>18.600351</v>
      </c>
      <c r="V59" s="260">
        <v>18.635482</v>
      </c>
      <c r="W59" s="260">
        <v>18.670493</v>
      </c>
      <c r="X59" s="260">
        <v>18.705382999999998</v>
      </c>
      <c r="Y59" s="260">
        <v>18.740152999999999</v>
      </c>
      <c r="Z59" s="260">
        <v>18.774801</v>
      </c>
      <c r="AA59" s="260">
        <v>18.809328000000001</v>
      </c>
      <c r="AB59" s="260">
        <v>18.843730999999998</v>
      </c>
      <c r="AC59" s="260">
        <v>18.878011000000001</v>
      </c>
      <c r="AD59" s="260">
        <v>18.912167999999998</v>
      </c>
      <c r="AE59" s="260">
        <v>18.946199999999997</v>
      </c>
      <c r="AF59" s="260">
        <v>18.980107999999998</v>
      </c>
      <c r="AG59" s="260">
        <v>19.01389</v>
      </c>
      <c r="AH59" s="260">
        <v>19.047546000000001</v>
      </c>
      <c r="AI59" s="260">
        <v>19.081077000000001</v>
      </c>
      <c r="AJ59" s="260">
        <v>19.11448</v>
      </c>
      <c r="AK59" s="260">
        <v>19.147755999999998</v>
      </c>
      <c r="AL59" s="260">
        <v>19.180903999999998</v>
      </c>
      <c r="AM59" s="260">
        <v>19.213925</v>
      </c>
      <c r="AN59" s="260">
        <v>19.246815999999999</v>
      </c>
      <c r="AO59" s="260">
        <v>19.279578999999998</v>
      </c>
      <c r="AP59" s="260">
        <v>19.312211999999999</v>
      </c>
      <c r="AQ59" s="260">
        <v>19.344715999999998</v>
      </c>
      <c r="AR59" s="260">
        <v>19.377088999999998</v>
      </c>
      <c r="AS59" s="260">
        <v>19.409331999999999</v>
      </c>
      <c r="AT59" s="260">
        <v>19.441444999999998</v>
      </c>
      <c r="AU59" s="260">
        <v>19.473426</v>
      </c>
      <c r="AV59" s="260">
        <v>19.505274999999997</v>
      </c>
      <c r="AW59" s="260">
        <v>19.536992999999999</v>
      </c>
      <c r="AX59" s="260">
        <v>19.568577999999999</v>
      </c>
      <c r="AY59" s="260">
        <v>19.600030999999998</v>
      </c>
      <c r="AZ59" s="260">
        <v>19.631350999999999</v>
      </c>
      <c r="BA59" s="260">
        <v>19.662538999999999</v>
      </c>
      <c r="BB59" s="260">
        <v>19.693593</v>
      </c>
      <c r="BC59" s="260">
        <v>19.724512999999998</v>
      </c>
      <c r="BD59" s="260">
        <v>19.755299999999998</v>
      </c>
      <c r="BE59" s="260">
        <v>19.785952999999999</v>
      </c>
      <c r="BF59" s="260">
        <v>19.816471999999997</v>
      </c>
      <c r="BG59" s="260">
        <v>19.846855999999999</v>
      </c>
      <c r="BH59" s="260">
        <v>19.877105999999998</v>
      </c>
      <c r="BI59" s="260">
        <v>19.907221</v>
      </c>
      <c r="BJ59" s="260">
        <v>19.937200999999998</v>
      </c>
      <c r="BK59" s="260">
        <v>19.967046999999997</v>
      </c>
      <c r="BL59" s="260">
        <v>19.996756999999999</v>
      </c>
      <c r="BM59" s="260">
        <v>20.026332</v>
      </c>
      <c r="BN59" s="260">
        <v>20.055771</v>
      </c>
      <c r="BO59" s="260">
        <v>20.085075</v>
      </c>
      <c r="BP59" s="260">
        <v>20.114242999999998</v>
      </c>
      <c r="BQ59" s="260">
        <v>20.143276</v>
      </c>
      <c r="BR59" s="260">
        <v>20.172173000000001</v>
      </c>
      <c r="BS59" s="260">
        <v>20.200934</v>
      </c>
      <c r="BT59" s="260">
        <v>20.229558999999998</v>
      </c>
      <c r="BU59" s="260">
        <v>20.258049</v>
      </c>
      <c r="BV59" s="260">
        <v>20.286401999999999</v>
      </c>
      <c r="BW59" s="260">
        <v>20.314619999999998</v>
      </c>
      <c r="BX59" s="260">
        <v>20.342700999999998</v>
      </c>
      <c r="BY59" s="260">
        <v>20.370646999999998</v>
      </c>
      <c r="BZ59" s="260">
        <v>20.398457000000001</v>
      </c>
      <c r="CA59" s="260">
        <v>20.426130000000001</v>
      </c>
      <c r="CB59" s="260">
        <v>20.453668</v>
      </c>
      <c r="CC59" s="260">
        <v>20.481069999999999</v>
      </c>
      <c r="CD59" s="260">
        <v>20.508336999999997</v>
      </c>
      <c r="CE59" s="260">
        <v>20.535467999999998</v>
      </c>
      <c r="CF59" s="260">
        <v>20.562462999999997</v>
      </c>
      <c r="CG59" s="260">
        <v>20.589321999999999</v>
      </c>
      <c r="CH59" s="260">
        <v>20.616046000000001</v>
      </c>
    </row>
    <row r="60" spans="1:86" x14ac:dyDescent="0.25">
      <c r="A60" s="170">
        <v>1</v>
      </c>
      <c r="B60" s="170">
        <v>59</v>
      </c>
      <c r="C60" s="259">
        <v>17.250232696533203</v>
      </c>
      <c r="D60" s="259">
        <v>17.310895919799805</v>
      </c>
      <c r="E60" s="259">
        <v>17.370922088623047</v>
      </c>
      <c r="F60" s="259">
        <v>17.430320739746094</v>
      </c>
      <c r="G60" s="259">
        <v>17.489093780517578</v>
      </c>
      <c r="H60" s="259">
        <v>17.547246932983398</v>
      </c>
      <c r="I60" s="260">
        <v>17.752065999999999</v>
      </c>
      <c r="J60" s="260">
        <v>17.792971999999999</v>
      </c>
      <c r="K60" s="260">
        <v>17.832971999999998</v>
      </c>
      <c r="L60" s="260">
        <v>17.872174999999999</v>
      </c>
      <c r="M60" s="260">
        <v>17.910688</v>
      </c>
      <c r="N60" s="260">
        <v>17.948608</v>
      </c>
      <c r="O60" s="260">
        <v>17.986027</v>
      </c>
      <c r="P60" s="260">
        <v>18.023028</v>
      </c>
      <c r="Q60" s="260">
        <v>18.059684999999998</v>
      </c>
      <c r="R60" s="260">
        <v>18.096063999999998</v>
      </c>
      <c r="S60" s="260">
        <v>18.132220999999998</v>
      </c>
      <c r="T60" s="260">
        <v>18.168201</v>
      </c>
      <c r="U60" s="260">
        <v>18.204035999999999</v>
      </c>
      <c r="V60" s="260">
        <v>18.239746</v>
      </c>
      <c r="W60" s="260">
        <v>18.275337999999998</v>
      </c>
      <c r="X60" s="260">
        <v>18.310810999999998</v>
      </c>
      <c r="Y60" s="260">
        <v>18.346164999999999</v>
      </c>
      <c r="Z60" s="260">
        <v>18.381398000000001</v>
      </c>
      <c r="AA60" s="260">
        <v>18.416509999999999</v>
      </c>
      <c r="AB60" s="260">
        <v>18.451499999999999</v>
      </c>
      <c r="AC60" s="260">
        <v>18.486367999999999</v>
      </c>
      <c r="AD60" s="260">
        <v>18.521114000000001</v>
      </c>
      <c r="AE60" s="260">
        <v>18.555736</v>
      </c>
      <c r="AF60" s="260">
        <v>18.590233999999999</v>
      </c>
      <c r="AG60" s="260">
        <v>18.624606999999997</v>
      </c>
      <c r="AH60" s="260">
        <v>18.658856</v>
      </c>
      <c r="AI60" s="260">
        <v>18.692978</v>
      </c>
      <c r="AJ60" s="260">
        <v>18.726974999999999</v>
      </c>
      <c r="AK60" s="260">
        <v>18.760845</v>
      </c>
      <c r="AL60" s="260">
        <v>18.794587999999997</v>
      </c>
      <c r="AM60" s="260">
        <v>18.828203999999999</v>
      </c>
      <c r="AN60" s="260">
        <v>18.861691</v>
      </c>
      <c r="AO60" s="260">
        <v>18.895049</v>
      </c>
      <c r="AP60" s="260">
        <v>18.928279</v>
      </c>
      <c r="AQ60" s="260">
        <v>18.961379000000001</v>
      </c>
      <c r="AR60" s="260">
        <v>18.994350000000001</v>
      </c>
      <c r="AS60" s="260">
        <v>19.027189999999997</v>
      </c>
      <c r="AT60" s="260">
        <v>19.059898999999998</v>
      </c>
      <c r="AU60" s="260">
        <v>19.092478</v>
      </c>
      <c r="AV60" s="260">
        <v>19.124924999999998</v>
      </c>
      <c r="AW60" s="260">
        <v>19.157239999999998</v>
      </c>
      <c r="AX60" s="260">
        <v>19.189422999999998</v>
      </c>
      <c r="AY60" s="260">
        <v>19.221473</v>
      </c>
      <c r="AZ60" s="260">
        <v>19.253391000000001</v>
      </c>
      <c r="BA60" s="260">
        <v>19.285176</v>
      </c>
      <c r="BB60" s="260">
        <v>19.316827</v>
      </c>
      <c r="BC60" s="260">
        <v>19.348344999999998</v>
      </c>
      <c r="BD60" s="260">
        <v>19.379728999999998</v>
      </c>
      <c r="BE60" s="260">
        <v>19.410978</v>
      </c>
      <c r="BF60" s="260">
        <v>19.442093</v>
      </c>
      <c r="BG60" s="260">
        <v>19.473072999999999</v>
      </c>
      <c r="BH60" s="260">
        <v>19.503919</v>
      </c>
      <c r="BI60" s="260">
        <v>19.534628999999999</v>
      </c>
      <c r="BJ60" s="260">
        <v>19.565203999999998</v>
      </c>
      <c r="BK60" s="260">
        <v>19.595642999999999</v>
      </c>
      <c r="BL60" s="260">
        <v>19.625947</v>
      </c>
      <c r="BM60" s="260">
        <v>19.656115</v>
      </c>
      <c r="BN60" s="260">
        <v>19.686146999999998</v>
      </c>
      <c r="BO60" s="260">
        <v>19.716041999999998</v>
      </c>
      <c r="BP60" s="260">
        <v>19.745801999999998</v>
      </c>
      <c r="BQ60" s="260">
        <v>19.775424999999998</v>
      </c>
      <c r="BR60" s="260">
        <v>19.804911000000001</v>
      </c>
      <c r="BS60" s="260">
        <v>19.834260999999998</v>
      </c>
      <c r="BT60" s="260">
        <v>19.863474999999998</v>
      </c>
      <c r="BU60" s="260">
        <v>19.892550999999997</v>
      </c>
      <c r="BV60" s="260">
        <v>19.921491</v>
      </c>
      <c r="BW60" s="260">
        <v>19.950294</v>
      </c>
      <c r="BX60" s="260">
        <v>19.978960000000001</v>
      </c>
      <c r="BY60" s="260">
        <v>20.007489</v>
      </c>
      <c r="BZ60" s="260">
        <v>20.035881</v>
      </c>
      <c r="CA60" s="260">
        <v>20.064136999999999</v>
      </c>
      <c r="CB60" s="260">
        <v>20.092254999999998</v>
      </c>
      <c r="CC60" s="260">
        <v>20.120236999999999</v>
      </c>
      <c r="CD60" s="260">
        <v>20.148080999999998</v>
      </c>
      <c r="CE60" s="260">
        <v>20.175788999999998</v>
      </c>
      <c r="CF60" s="260">
        <v>20.20336</v>
      </c>
      <c r="CG60" s="260">
        <v>20.230795000000001</v>
      </c>
      <c r="CH60" s="260">
        <v>20.258091999999998</v>
      </c>
    </row>
    <row r="61" spans="1:86" x14ac:dyDescent="0.25">
      <c r="A61" s="170">
        <v>1</v>
      </c>
      <c r="B61" s="170">
        <v>60</v>
      </c>
      <c r="C61" s="259">
        <v>16.8118896484375</v>
      </c>
      <c r="D61" s="259">
        <v>16.872438430786133</v>
      </c>
      <c r="E61" s="259">
        <v>16.932388305664063</v>
      </c>
      <c r="F61" s="259">
        <v>16.991744995117188</v>
      </c>
      <c r="G61" s="259">
        <v>17.050512313842773</v>
      </c>
      <c r="H61" s="259">
        <v>17.108694076538086</v>
      </c>
      <c r="I61" s="260">
        <v>17.340477</v>
      </c>
      <c r="J61" s="260">
        <v>17.382149999999999</v>
      </c>
      <c r="K61" s="260">
        <v>17.422867999999998</v>
      </c>
      <c r="L61" s="260">
        <v>17.46275</v>
      </c>
      <c r="M61" s="260">
        <v>17.501908</v>
      </c>
      <c r="N61" s="260">
        <v>17.540447999999998</v>
      </c>
      <c r="O61" s="260">
        <v>17.578467</v>
      </c>
      <c r="P61" s="260">
        <v>17.616053000000001</v>
      </c>
      <c r="Q61" s="260">
        <v>17.653283999999999</v>
      </c>
      <c r="R61" s="260">
        <v>17.690231000000001</v>
      </c>
      <c r="S61" s="260">
        <v>17.726949999999999</v>
      </c>
      <c r="T61" s="260">
        <v>17.763490000000001</v>
      </c>
      <c r="U61" s="260">
        <v>17.799886000000001</v>
      </c>
      <c r="V61" s="260">
        <v>17.836157</v>
      </c>
      <c r="W61" s="260">
        <v>17.872312000000001</v>
      </c>
      <c r="X61" s="260">
        <v>17.908348999999998</v>
      </c>
      <c r="Y61" s="260">
        <v>17.944267999999997</v>
      </c>
      <c r="Z61" s="260">
        <v>17.980069</v>
      </c>
      <c r="AA61" s="260">
        <v>18.015749</v>
      </c>
      <c r="AB61" s="260">
        <v>18.051309</v>
      </c>
      <c r="AC61" s="260">
        <v>18.086748</v>
      </c>
      <c r="AD61" s="260">
        <v>18.122066</v>
      </c>
      <c r="AE61" s="260">
        <v>18.157260999999998</v>
      </c>
      <c r="AF61" s="260">
        <v>18.192333999999999</v>
      </c>
      <c r="AG61" s="260">
        <v>18.227283</v>
      </c>
      <c r="AH61" s="260">
        <v>18.262107999999998</v>
      </c>
      <c r="AI61" s="260">
        <v>18.296807999999999</v>
      </c>
      <c r="AJ61" s="260">
        <v>18.331382999999999</v>
      </c>
      <c r="AK61" s="260">
        <v>18.365831999999997</v>
      </c>
      <c r="AL61" s="260">
        <v>18.400154999999998</v>
      </c>
      <c r="AM61" s="260">
        <v>18.434350999999999</v>
      </c>
      <c r="AN61" s="260">
        <v>18.468419000000001</v>
      </c>
      <c r="AO61" s="260">
        <v>18.502359999999999</v>
      </c>
      <c r="AP61" s="260">
        <v>18.536172000000001</v>
      </c>
      <c r="AQ61" s="260">
        <v>18.569855</v>
      </c>
      <c r="AR61" s="260">
        <v>18.603408999999999</v>
      </c>
      <c r="AS61" s="260">
        <v>18.636832999999999</v>
      </c>
      <c r="AT61" s="260">
        <v>18.670127000000001</v>
      </c>
      <c r="AU61" s="260">
        <v>18.703289999999999</v>
      </c>
      <c r="AV61" s="260">
        <v>18.736321999999998</v>
      </c>
      <c r="AW61" s="260">
        <v>18.769223</v>
      </c>
      <c r="AX61" s="260">
        <v>18.801990999999997</v>
      </c>
      <c r="AY61" s="260">
        <v>18.834626999999998</v>
      </c>
      <c r="AZ61" s="260">
        <v>18.867131000000001</v>
      </c>
      <c r="BA61" s="260">
        <v>18.899501999999998</v>
      </c>
      <c r="BB61" s="260">
        <v>18.931739</v>
      </c>
      <c r="BC61" s="260">
        <v>18.963842</v>
      </c>
      <c r="BD61" s="260">
        <v>18.995812000000001</v>
      </c>
      <c r="BE61" s="260">
        <v>19.027646999999998</v>
      </c>
      <c r="BF61" s="260">
        <v>19.059348</v>
      </c>
      <c r="BG61" s="260">
        <v>19.090913999999998</v>
      </c>
      <c r="BH61" s="260">
        <v>19.122344999999999</v>
      </c>
      <c r="BI61" s="260">
        <v>19.153639999999999</v>
      </c>
      <c r="BJ61" s="260">
        <v>19.184799999999999</v>
      </c>
      <c r="BK61" s="260">
        <v>19.215823999999998</v>
      </c>
      <c r="BL61" s="260">
        <v>19.246710999999998</v>
      </c>
      <c r="BM61" s="260">
        <v>19.277463000000001</v>
      </c>
      <c r="BN61" s="260">
        <v>19.308077999999998</v>
      </c>
      <c r="BO61" s="260">
        <v>19.338556999999998</v>
      </c>
      <c r="BP61" s="260">
        <v>19.368898999999999</v>
      </c>
      <c r="BQ61" s="260">
        <v>19.399103</v>
      </c>
      <c r="BR61" s="260">
        <v>19.429171</v>
      </c>
      <c r="BS61" s="260">
        <v>19.459101999999998</v>
      </c>
      <c r="BT61" s="260">
        <v>19.488894999999999</v>
      </c>
      <c r="BU61" s="260">
        <v>19.518550999999999</v>
      </c>
      <c r="BV61" s="260">
        <v>19.548069999999999</v>
      </c>
      <c r="BW61" s="260">
        <v>19.577449999999999</v>
      </c>
      <c r="BX61" s="260">
        <v>19.606693999999997</v>
      </c>
      <c r="BY61" s="260">
        <v>19.635798999999999</v>
      </c>
      <c r="BZ61" s="260">
        <v>19.664766999999998</v>
      </c>
      <c r="CA61" s="260">
        <v>19.693597</v>
      </c>
      <c r="CB61" s="260">
        <v>19.722289</v>
      </c>
      <c r="CC61" s="260">
        <v>19.750843</v>
      </c>
      <c r="CD61" s="260">
        <v>19.779260000000001</v>
      </c>
      <c r="CE61" s="260">
        <v>19.807537999999997</v>
      </c>
      <c r="CF61" s="260">
        <v>19.835678999999999</v>
      </c>
      <c r="CG61" s="260">
        <v>19.863682000000001</v>
      </c>
      <c r="CH61" s="260">
        <v>19.891548</v>
      </c>
    </row>
    <row r="62" spans="1:86" x14ac:dyDescent="0.25">
      <c r="A62" s="170">
        <v>1</v>
      </c>
      <c r="B62" s="170">
        <v>61</v>
      </c>
      <c r="C62" s="259">
        <v>16.371326446533203</v>
      </c>
      <c r="D62" s="259">
        <v>16.432062149047852</v>
      </c>
      <c r="E62" s="259">
        <v>16.492219924926758</v>
      </c>
      <c r="F62" s="259">
        <v>16.551799774169922</v>
      </c>
      <c r="G62" s="259">
        <v>16.610807418823242</v>
      </c>
      <c r="H62" s="259">
        <v>16.669248580932617</v>
      </c>
      <c r="I62" s="260">
        <v>16.920662</v>
      </c>
      <c r="J62" s="260">
        <v>16.963092</v>
      </c>
      <c r="K62" s="260">
        <v>17.004515999999999</v>
      </c>
      <c r="L62" s="260">
        <v>17.045059999999999</v>
      </c>
      <c r="M62" s="260">
        <v>17.084845999999999</v>
      </c>
      <c r="N62" s="260">
        <v>17.123987</v>
      </c>
      <c r="O62" s="260">
        <v>17.162585</v>
      </c>
      <c r="P62" s="260">
        <v>17.200735999999999</v>
      </c>
      <c r="Q62" s="260">
        <v>17.238522</v>
      </c>
      <c r="R62" s="260">
        <v>17.276017</v>
      </c>
      <c r="S62" s="260">
        <v>17.313282000000001</v>
      </c>
      <c r="T62" s="260">
        <v>17.350365999999998</v>
      </c>
      <c r="U62" s="260">
        <v>17.387305999999999</v>
      </c>
      <c r="V62" s="260">
        <v>17.424123999999999</v>
      </c>
      <c r="W62" s="260">
        <v>17.460826000000001</v>
      </c>
      <c r="X62" s="260">
        <v>17.497412999999998</v>
      </c>
      <c r="Y62" s="260">
        <v>17.533882999999999</v>
      </c>
      <c r="Z62" s="260">
        <v>17.570235999999998</v>
      </c>
      <c r="AA62" s="260">
        <v>17.606469999999998</v>
      </c>
      <c r="AB62" s="260">
        <v>17.642585999999998</v>
      </c>
      <c r="AC62" s="260">
        <v>17.678581999999999</v>
      </c>
      <c r="AD62" s="260">
        <v>17.714458999999998</v>
      </c>
      <c r="AE62" s="260">
        <v>17.750214</v>
      </c>
      <c r="AF62" s="260">
        <v>17.785847</v>
      </c>
      <c r="AG62" s="260">
        <v>17.821358999999998</v>
      </c>
      <c r="AH62" s="260">
        <v>17.856746999999999</v>
      </c>
      <c r="AI62" s="260">
        <v>17.892011999999998</v>
      </c>
      <c r="AJ62" s="260">
        <v>17.927153000000001</v>
      </c>
      <c r="AK62" s="260">
        <v>17.962168999999999</v>
      </c>
      <c r="AL62" s="260">
        <v>17.997059999999998</v>
      </c>
      <c r="AM62" s="260">
        <v>18.031824</v>
      </c>
      <c r="AN62" s="260">
        <v>18.066462999999999</v>
      </c>
      <c r="AO62" s="260">
        <v>18.100974000000001</v>
      </c>
      <c r="AP62" s="260">
        <v>18.135356999999999</v>
      </c>
      <c r="AQ62" s="260">
        <v>18.169612000000001</v>
      </c>
      <c r="AR62" s="260">
        <v>18.203738999999999</v>
      </c>
      <c r="AS62" s="260">
        <v>18.237735999999998</v>
      </c>
      <c r="AT62" s="260">
        <v>18.271604</v>
      </c>
      <c r="AU62" s="260">
        <v>18.305342</v>
      </c>
      <c r="AV62" s="260">
        <v>18.338947999999998</v>
      </c>
      <c r="AW62" s="260">
        <v>18.372423999999999</v>
      </c>
      <c r="AX62" s="260">
        <v>18.405768999999999</v>
      </c>
      <c r="AY62" s="260">
        <v>18.438980999999998</v>
      </c>
      <c r="AZ62" s="260">
        <v>18.472061</v>
      </c>
      <c r="BA62" s="260">
        <v>18.505008</v>
      </c>
      <c r="BB62" s="260">
        <v>18.537822999999999</v>
      </c>
      <c r="BC62" s="260">
        <v>18.570502999999999</v>
      </c>
      <c r="BD62" s="260">
        <v>18.60305</v>
      </c>
      <c r="BE62" s="260">
        <v>18.635462999999998</v>
      </c>
      <c r="BF62" s="260">
        <v>18.667740999999999</v>
      </c>
      <c r="BG62" s="260">
        <v>18.699884000000001</v>
      </c>
      <c r="BH62" s="260">
        <v>18.731891999999998</v>
      </c>
      <c r="BI62" s="260">
        <v>18.763764999999999</v>
      </c>
      <c r="BJ62" s="260">
        <v>18.795501999999999</v>
      </c>
      <c r="BK62" s="260">
        <v>18.827102999999997</v>
      </c>
      <c r="BL62" s="260">
        <v>18.858567000000001</v>
      </c>
      <c r="BM62" s="260">
        <v>18.889896</v>
      </c>
      <c r="BN62" s="260">
        <v>18.921087</v>
      </c>
      <c r="BO62" s="260">
        <v>18.952141999999998</v>
      </c>
      <c r="BP62" s="260">
        <v>18.983059000000001</v>
      </c>
      <c r="BQ62" s="260">
        <v>19.013839000000001</v>
      </c>
      <c r="BR62" s="260">
        <v>19.044481999999999</v>
      </c>
      <c r="BS62" s="260">
        <v>19.074987</v>
      </c>
      <c r="BT62" s="260">
        <v>19.105353999999998</v>
      </c>
      <c r="BU62" s="260">
        <v>19.135583</v>
      </c>
      <c r="BV62" s="260">
        <v>19.165675</v>
      </c>
      <c r="BW62" s="260">
        <v>19.195627999999999</v>
      </c>
      <c r="BX62" s="260">
        <v>19.225442999999999</v>
      </c>
      <c r="BY62" s="260">
        <v>19.255119000000001</v>
      </c>
      <c r="BZ62" s="260">
        <v>19.284656999999999</v>
      </c>
      <c r="CA62" s="260">
        <v>19.314056000000001</v>
      </c>
      <c r="CB62" s="260">
        <v>19.343316999999999</v>
      </c>
      <c r="CC62" s="260">
        <v>19.372439999999997</v>
      </c>
      <c r="CD62" s="260">
        <v>19.401422999999998</v>
      </c>
      <c r="CE62" s="260">
        <v>19.430267999999998</v>
      </c>
      <c r="CF62" s="260">
        <v>19.458973999999998</v>
      </c>
      <c r="CG62" s="260">
        <v>19.487541999999998</v>
      </c>
      <c r="CH62" s="260">
        <v>19.515971</v>
      </c>
    </row>
    <row r="63" spans="1:86" x14ac:dyDescent="0.25">
      <c r="A63" s="170">
        <v>1</v>
      </c>
      <c r="B63" s="170">
        <v>62</v>
      </c>
      <c r="C63" s="259">
        <v>15.924522399902344</v>
      </c>
      <c r="D63" s="259">
        <v>15.985293388366699</v>
      </c>
      <c r="E63" s="259">
        <v>16.045505523681641</v>
      </c>
      <c r="F63" s="259">
        <v>16.10516357421875</v>
      </c>
      <c r="G63" s="259">
        <v>16.164270401000977</v>
      </c>
      <c r="H63" s="259">
        <v>16.22282600402832</v>
      </c>
      <c r="I63" s="260">
        <v>16.491796999999998</v>
      </c>
      <c r="J63" s="260">
        <v>16.534993</v>
      </c>
      <c r="K63" s="260">
        <v>16.577127999999998</v>
      </c>
      <c r="L63" s="260">
        <v>16.618335999999999</v>
      </c>
      <c r="M63" s="260">
        <v>16.658746000000001</v>
      </c>
      <c r="N63" s="260">
        <v>16.698477999999998</v>
      </c>
      <c r="O63" s="260">
        <v>16.737645999999998</v>
      </c>
      <c r="P63" s="260">
        <v>16.776350000000001</v>
      </c>
      <c r="Q63" s="260">
        <v>16.814678999999998</v>
      </c>
      <c r="R63" s="260">
        <v>16.852709999999998</v>
      </c>
      <c r="S63" s="260">
        <v>16.890506999999999</v>
      </c>
      <c r="T63" s="260">
        <v>16.928122999999999</v>
      </c>
      <c r="U63" s="260">
        <v>16.965595999999998</v>
      </c>
      <c r="V63" s="260">
        <v>17.002948</v>
      </c>
      <c r="W63" s="260">
        <v>17.040185999999999</v>
      </c>
      <c r="X63" s="260">
        <v>17.077310999999998</v>
      </c>
      <c r="Y63" s="260">
        <v>17.114321999999998</v>
      </c>
      <c r="Z63" s="260">
        <v>17.151215999999998</v>
      </c>
      <c r="AA63" s="260">
        <v>17.187994</v>
      </c>
      <c r="AB63" s="260">
        <v>17.224656</v>
      </c>
      <c r="AC63" s="260">
        <v>17.261198999999998</v>
      </c>
      <c r="AD63" s="260">
        <v>17.297623999999999</v>
      </c>
      <c r="AE63" s="260">
        <v>17.333928999999998</v>
      </c>
      <c r="AF63" s="260">
        <v>17.370114000000001</v>
      </c>
      <c r="AG63" s="260">
        <v>17.406178999999998</v>
      </c>
      <c r="AH63" s="260">
        <v>17.442121</v>
      </c>
      <c r="AI63" s="260">
        <v>17.477941999999999</v>
      </c>
      <c r="AJ63" s="260">
        <v>17.513639999999999</v>
      </c>
      <c r="AK63" s="260">
        <v>17.549213999999999</v>
      </c>
      <c r="AL63" s="260">
        <v>17.584664</v>
      </c>
      <c r="AM63" s="260">
        <v>17.619989</v>
      </c>
      <c r="AN63" s="260">
        <v>17.655187999999999</v>
      </c>
      <c r="AO63" s="260">
        <v>17.690262000000001</v>
      </c>
      <c r="AP63" s="260">
        <v>17.725207999999999</v>
      </c>
      <c r="AQ63" s="260">
        <v>17.760027999999998</v>
      </c>
      <c r="AR63" s="260">
        <v>17.794719000000001</v>
      </c>
      <c r="AS63" s="260">
        <v>17.829283</v>
      </c>
      <c r="AT63" s="260">
        <v>17.863716999999998</v>
      </c>
      <c r="AU63" s="260">
        <v>17.898021999999997</v>
      </c>
      <c r="AV63" s="260">
        <v>17.932196999999999</v>
      </c>
      <c r="AW63" s="260">
        <v>17.966241</v>
      </c>
      <c r="AX63" s="260">
        <v>18.000154999999999</v>
      </c>
      <c r="AY63" s="260">
        <v>18.033936999999998</v>
      </c>
      <c r="AZ63" s="260">
        <v>18.067587</v>
      </c>
      <c r="BA63" s="260">
        <v>18.101105</v>
      </c>
      <c r="BB63" s="260">
        <v>18.13449</v>
      </c>
      <c r="BC63" s="260">
        <v>18.167742000000001</v>
      </c>
      <c r="BD63" s="260">
        <v>18.200859999999999</v>
      </c>
      <c r="BE63" s="260">
        <v>18.233843999999998</v>
      </c>
      <c r="BF63" s="260">
        <v>18.266693999999998</v>
      </c>
      <c r="BG63" s="260">
        <v>18.299409999999998</v>
      </c>
      <c r="BH63" s="260">
        <v>18.331989999999998</v>
      </c>
      <c r="BI63" s="260">
        <v>18.364435</v>
      </c>
      <c r="BJ63" s="260">
        <v>18.396743999999998</v>
      </c>
      <c r="BK63" s="260">
        <v>18.428916999999998</v>
      </c>
      <c r="BL63" s="260">
        <v>18.460953999999997</v>
      </c>
      <c r="BM63" s="260">
        <v>18.492853999999998</v>
      </c>
      <c r="BN63" s="260">
        <v>18.524618</v>
      </c>
      <c r="BO63" s="260">
        <v>18.556244</v>
      </c>
      <c r="BP63" s="260">
        <v>18.587733</v>
      </c>
      <c r="BQ63" s="260">
        <v>18.619084000000001</v>
      </c>
      <c r="BR63" s="260">
        <v>18.650297999999999</v>
      </c>
      <c r="BS63" s="260">
        <v>18.681373999999998</v>
      </c>
      <c r="BT63" s="260">
        <v>18.712311</v>
      </c>
      <c r="BU63" s="260">
        <v>18.743110999999999</v>
      </c>
      <c r="BV63" s="260">
        <v>18.773771</v>
      </c>
      <c r="BW63" s="260">
        <v>18.804292999999998</v>
      </c>
      <c r="BX63" s="260">
        <v>18.834675999999998</v>
      </c>
      <c r="BY63" s="260">
        <v>18.864920999999999</v>
      </c>
      <c r="BZ63" s="260">
        <v>18.895025999999998</v>
      </c>
      <c r="CA63" s="260">
        <v>18.924992</v>
      </c>
      <c r="CB63" s="260">
        <v>18.954819000000001</v>
      </c>
      <c r="CC63" s="260">
        <v>18.984507000000001</v>
      </c>
      <c r="CD63" s="260">
        <v>19.014054999999999</v>
      </c>
      <c r="CE63" s="260">
        <v>19.043464</v>
      </c>
      <c r="CF63" s="260">
        <v>19.072734000000001</v>
      </c>
      <c r="CG63" s="260">
        <v>19.101863999999999</v>
      </c>
      <c r="CH63" s="260">
        <v>19.130853999999999</v>
      </c>
    </row>
    <row r="64" spans="1:86" x14ac:dyDescent="0.25">
      <c r="A64" s="170">
        <v>1</v>
      </c>
      <c r="B64" s="170">
        <v>63</v>
      </c>
      <c r="C64" s="259">
        <v>15.4710693359375</v>
      </c>
      <c r="D64" s="259">
        <v>15.531722068786621</v>
      </c>
      <c r="E64" s="259">
        <v>15.591842651367188</v>
      </c>
      <c r="F64" s="259">
        <v>15.651432037353516</v>
      </c>
      <c r="G64" s="259">
        <v>15.710492134094238</v>
      </c>
      <c r="H64" s="259">
        <v>15.769025802612305</v>
      </c>
      <c r="I64" s="260">
        <v>16.053152999999998</v>
      </c>
      <c r="J64" s="260">
        <v>16.097141000000001</v>
      </c>
      <c r="K64" s="260">
        <v>16.140007999999998</v>
      </c>
      <c r="L64" s="260">
        <v>16.181895999999998</v>
      </c>
      <c r="M64" s="260">
        <v>16.222939999999998</v>
      </c>
      <c r="N64" s="260">
        <v>16.263271</v>
      </c>
      <c r="O64" s="260">
        <v>16.303008999999999</v>
      </c>
      <c r="P64" s="260">
        <v>16.342261999999998</v>
      </c>
      <c r="Q64" s="260">
        <v>16.381126999999999</v>
      </c>
      <c r="R64" s="260">
        <v>16.419685999999999</v>
      </c>
      <c r="S64" s="260">
        <v>16.458008</v>
      </c>
      <c r="T64" s="260">
        <v>16.496147999999998</v>
      </c>
      <c r="U64" s="260">
        <v>16.534143999999998</v>
      </c>
      <c r="V64" s="260">
        <v>16.572022</v>
      </c>
      <c r="W64" s="260">
        <v>16.60979</v>
      </c>
      <c r="X64" s="260">
        <v>16.647444999999998</v>
      </c>
      <c r="Y64" s="260">
        <v>16.684987</v>
      </c>
      <c r="Z64" s="260">
        <v>16.722415999999999</v>
      </c>
      <c r="AA64" s="260">
        <v>16.759730999999999</v>
      </c>
      <c r="AB64" s="260">
        <v>16.79693</v>
      </c>
      <c r="AC64" s="260">
        <v>16.834012999999999</v>
      </c>
      <c r="AD64" s="260">
        <v>16.870978999999998</v>
      </c>
      <c r="AE64" s="260">
        <v>16.907827999999999</v>
      </c>
      <c r="AF64" s="260">
        <v>16.944558000000001</v>
      </c>
      <c r="AG64" s="260">
        <v>16.981168</v>
      </c>
      <c r="AH64" s="260">
        <v>17.017658999999998</v>
      </c>
      <c r="AI64" s="260">
        <v>17.054029</v>
      </c>
      <c r="AJ64" s="260">
        <v>17.090277999999998</v>
      </c>
      <c r="AK64" s="260">
        <v>17.126404000000001</v>
      </c>
      <c r="AL64" s="260">
        <v>17.162406999999998</v>
      </c>
      <c r="AM64" s="260">
        <v>17.198287000000001</v>
      </c>
      <c r="AN64" s="260">
        <v>17.234041999999999</v>
      </c>
      <c r="AO64" s="260">
        <v>17.269672</v>
      </c>
      <c r="AP64" s="260">
        <v>17.305177</v>
      </c>
      <c r="AQ64" s="260">
        <v>17.340555999999999</v>
      </c>
      <c r="AR64" s="260">
        <v>17.375806999999998</v>
      </c>
      <c r="AS64" s="260">
        <v>17.410931999999999</v>
      </c>
      <c r="AT64" s="260">
        <v>17.445927999999999</v>
      </c>
      <c r="AU64" s="260">
        <v>17.480795000000001</v>
      </c>
      <c r="AV64" s="260">
        <v>17.515533999999999</v>
      </c>
      <c r="AW64" s="260">
        <v>17.550141999999997</v>
      </c>
      <c r="AX64" s="260">
        <v>17.584620999999999</v>
      </c>
      <c r="AY64" s="260">
        <v>17.618967999999999</v>
      </c>
      <c r="AZ64" s="260">
        <v>17.653184</v>
      </c>
      <c r="BA64" s="260">
        <v>17.687269000000001</v>
      </c>
      <c r="BB64" s="260">
        <v>17.721221</v>
      </c>
      <c r="BC64" s="260">
        <v>17.755039999999997</v>
      </c>
      <c r="BD64" s="260">
        <v>17.788726999999998</v>
      </c>
      <c r="BE64" s="260">
        <v>17.822278999999998</v>
      </c>
      <c r="BF64" s="260">
        <v>17.855698</v>
      </c>
      <c r="BG64" s="260">
        <v>17.888981999999999</v>
      </c>
      <c r="BH64" s="260">
        <v>17.922131999999998</v>
      </c>
      <c r="BI64" s="260">
        <v>17.955145999999999</v>
      </c>
      <c r="BJ64" s="260">
        <v>17.988025</v>
      </c>
      <c r="BK64" s="260">
        <v>18.020766999999999</v>
      </c>
      <c r="BL64" s="260">
        <v>18.053373999999998</v>
      </c>
      <c r="BM64" s="260">
        <v>18.085843999999998</v>
      </c>
      <c r="BN64" s="260">
        <v>18.118176999999999</v>
      </c>
      <c r="BO64" s="260">
        <v>18.150372999999998</v>
      </c>
      <c r="BP64" s="260">
        <v>18.182430999999998</v>
      </c>
      <c r="BQ64" s="260">
        <v>18.214351999999998</v>
      </c>
      <c r="BR64" s="260">
        <v>18.246134999999999</v>
      </c>
      <c r="BS64" s="260">
        <v>18.277778999999999</v>
      </c>
      <c r="BT64" s="260">
        <v>18.309286</v>
      </c>
      <c r="BU64" s="260">
        <v>18.340653</v>
      </c>
      <c r="BV64" s="260">
        <v>18.371881999999999</v>
      </c>
      <c r="BW64" s="260">
        <v>18.402971999999998</v>
      </c>
      <c r="BX64" s="260">
        <v>18.433921999999999</v>
      </c>
      <c r="BY64" s="260">
        <v>18.464732999999999</v>
      </c>
      <c r="BZ64" s="260">
        <v>18.495404999999998</v>
      </c>
      <c r="CA64" s="260">
        <v>18.525936999999999</v>
      </c>
      <c r="CB64" s="260">
        <v>18.556328999999998</v>
      </c>
      <c r="CC64" s="260">
        <v>18.586580999999999</v>
      </c>
      <c r="CD64" s="260">
        <v>18.616693999999999</v>
      </c>
      <c r="CE64" s="260">
        <v>18.646666</v>
      </c>
      <c r="CF64" s="260">
        <v>18.676497999999999</v>
      </c>
      <c r="CG64" s="260">
        <v>18.706189999999999</v>
      </c>
      <c r="CH64" s="260">
        <v>18.735741999999998</v>
      </c>
    </row>
    <row r="65" spans="1:86" x14ac:dyDescent="0.25">
      <c r="A65" s="170">
        <v>1</v>
      </c>
      <c r="B65" s="170">
        <v>64</v>
      </c>
      <c r="C65" s="259">
        <v>15.010680198669434</v>
      </c>
      <c r="D65" s="259">
        <v>15.071062088012695</v>
      </c>
      <c r="E65" s="259">
        <v>15.130937576293945</v>
      </c>
      <c r="F65" s="259">
        <v>15.190308570861816</v>
      </c>
      <c r="G65" s="259">
        <v>15.249178886413574</v>
      </c>
      <c r="H65" s="259">
        <v>15.307549476623535</v>
      </c>
      <c r="I65" s="260">
        <v>15.604488</v>
      </c>
      <c r="J65" s="260">
        <v>15.649303999999999</v>
      </c>
      <c r="K65" s="260">
        <v>15.692933999999999</v>
      </c>
      <c r="L65" s="260">
        <v>15.735526</v>
      </c>
      <c r="M65" s="260">
        <v>15.777225</v>
      </c>
      <c r="N65" s="260">
        <v>15.818166999999999</v>
      </c>
      <c r="O65" s="260">
        <v>15.858481999999999</v>
      </c>
      <c r="P65" s="260">
        <v>15.898287</v>
      </c>
      <c r="Q65" s="260">
        <v>15.937685</v>
      </c>
      <c r="R65" s="260">
        <v>15.976766999999999</v>
      </c>
      <c r="S65" s="260">
        <v>16.015605999999998</v>
      </c>
      <c r="T65" s="260">
        <v>16.054261</v>
      </c>
      <c r="U65" s="260">
        <v>16.092772999999998</v>
      </c>
      <c r="V65" s="260">
        <v>16.131169</v>
      </c>
      <c r="W65" s="260">
        <v>16.169456</v>
      </c>
      <c r="X65" s="260">
        <v>16.207633999999999</v>
      </c>
      <c r="Y65" s="260">
        <v>16.245701</v>
      </c>
      <c r="Z65" s="260">
        <v>16.283656000000001</v>
      </c>
      <c r="AA65" s="260">
        <v>16.321498999999999</v>
      </c>
      <c r="AB65" s="260">
        <v>16.359228999999999</v>
      </c>
      <c r="AC65" s="260">
        <v>16.396843999999998</v>
      </c>
      <c r="AD65" s="260">
        <v>16.434345</v>
      </c>
      <c r="AE65" s="260">
        <v>16.471730000000001</v>
      </c>
      <c r="AF65" s="260">
        <v>16.508997000000001</v>
      </c>
      <c r="AG65" s="260">
        <v>16.546147999999999</v>
      </c>
      <c r="AH65" s="260">
        <v>16.583179999999999</v>
      </c>
      <c r="AI65" s="260">
        <v>16.620092</v>
      </c>
      <c r="AJ65" s="260">
        <v>16.656884999999999</v>
      </c>
      <c r="AK65" s="260">
        <v>16.693556999999998</v>
      </c>
      <c r="AL65" s="260">
        <v>16.730107999999998</v>
      </c>
      <c r="AM65" s="260">
        <v>16.766535999999999</v>
      </c>
      <c r="AN65" s="260">
        <v>16.802841000000001</v>
      </c>
      <c r="AO65" s="260">
        <v>16.839023000000001</v>
      </c>
      <c r="AP65" s="260">
        <v>16.875080000000001</v>
      </c>
      <c r="AQ65" s="260">
        <v>16.911011999999999</v>
      </c>
      <c r="AR65" s="260">
        <v>16.946818</v>
      </c>
      <c r="AS65" s="260">
        <v>16.982498</v>
      </c>
      <c r="AT65" s="260">
        <v>17.018051</v>
      </c>
      <c r="AU65" s="260">
        <v>17.053476</v>
      </c>
      <c r="AV65" s="260">
        <v>17.088773</v>
      </c>
      <c r="AW65" s="260">
        <v>17.123940999999999</v>
      </c>
      <c r="AX65" s="260">
        <v>17.15898</v>
      </c>
      <c r="AY65" s="260">
        <v>17.193888999999999</v>
      </c>
      <c r="AZ65" s="260">
        <v>17.228666999999998</v>
      </c>
      <c r="BA65" s="260">
        <v>17.263313</v>
      </c>
      <c r="BB65" s="260">
        <v>17.297829</v>
      </c>
      <c r="BC65" s="260">
        <v>17.332211999999998</v>
      </c>
      <c r="BD65" s="260">
        <v>17.366461999999999</v>
      </c>
      <c r="BE65" s="260">
        <v>17.400579</v>
      </c>
      <c r="BF65" s="260">
        <v>17.434563000000001</v>
      </c>
      <c r="BG65" s="260">
        <v>17.468412999999998</v>
      </c>
      <c r="BH65" s="260">
        <v>17.502127999999999</v>
      </c>
      <c r="BI65" s="260">
        <v>17.535708</v>
      </c>
      <c r="BJ65" s="260">
        <v>17.569153</v>
      </c>
      <c r="BK65" s="260">
        <v>17.602461999999999</v>
      </c>
      <c r="BL65" s="260">
        <v>17.635635000000001</v>
      </c>
      <c r="BM65" s="260">
        <v>17.668672000000001</v>
      </c>
      <c r="BN65" s="260">
        <v>17.701571999999999</v>
      </c>
      <c r="BO65" s="260">
        <v>17.734334999999998</v>
      </c>
      <c r="BP65" s="260">
        <v>17.766959999999997</v>
      </c>
      <c r="BQ65" s="260">
        <v>17.799447999999998</v>
      </c>
      <c r="BR65" s="260">
        <v>17.831796999999998</v>
      </c>
      <c r="BS65" s="260">
        <v>17.864007999999998</v>
      </c>
      <c r="BT65" s="260">
        <v>17.896080999999999</v>
      </c>
      <c r="BU65" s="260">
        <v>17.928014999999998</v>
      </c>
      <c r="BV65" s="260">
        <v>17.959810000000001</v>
      </c>
      <c r="BW65" s="260">
        <v>17.991464999999998</v>
      </c>
      <c r="BX65" s="260">
        <v>18.022980999999998</v>
      </c>
      <c r="BY65" s="260">
        <v>18.054357</v>
      </c>
      <c r="BZ65" s="260">
        <v>18.085594</v>
      </c>
      <c r="CA65" s="260">
        <v>18.116689999999998</v>
      </c>
      <c r="CB65" s="260">
        <v>18.147645999999998</v>
      </c>
      <c r="CC65" s="260">
        <v>18.178462</v>
      </c>
      <c r="CD65" s="260">
        <v>18.209136999999998</v>
      </c>
      <c r="CE65" s="260">
        <v>18.239671999999999</v>
      </c>
      <c r="CF65" s="260">
        <v>18.270066</v>
      </c>
      <c r="CG65" s="260">
        <v>18.300318999999998</v>
      </c>
      <c r="CH65" s="260">
        <v>18.330431000000001</v>
      </c>
    </row>
    <row r="66" spans="1:86" x14ac:dyDescent="0.25">
      <c r="A66" s="170">
        <v>1</v>
      </c>
      <c r="B66" s="170">
        <v>65</v>
      </c>
      <c r="C66" s="259">
        <v>14.543726921081543</v>
      </c>
      <c r="D66" s="259">
        <v>14.603666305541992</v>
      </c>
      <c r="E66" s="259">
        <v>14.663130760192871</v>
      </c>
      <c r="F66" s="259">
        <v>14.722122192382813</v>
      </c>
      <c r="G66" s="259">
        <v>14.780641555786133</v>
      </c>
      <c r="H66" s="259">
        <v>14.838689804077148</v>
      </c>
      <c r="I66" s="260">
        <v>15.146538</v>
      </c>
      <c r="J66" s="260">
        <v>15.192209</v>
      </c>
      <c r="K66" s="260">
        <v>15.236626999999999</v>
      </c>
      <c r="L66" s="260">
        <v>15.279943999999999</v>
      </c>
      <c r="M66" s="260">
        <v>15.322312</v>
      </c>
      <c r="N66" s="260">
        <v>15.363875</v>
      </c>
      <c r="O66" s="260">
        <v>15.404770999999998</v>
      </c>
      <c r="P66" s="260">
        <v>15.445126</v>
      </c>
      <c r="Q66" s="260">
        <v>15.485052</v>
      </c>
      <c r="R66" s="260">
        <v>15.524645999999999</v>
      </c>
      <c r="S66" s="260">
        <v>15.563988999999999</v>
      </c>
      <c r="T66" s="260">
        <v>15.603145</v>
      </c>
      <c r="U66" s="260">
        <v>15.642157999999998</v>
      </c>
      <c r="V66" s="260">
        <v>15.681056999999999</v>
      </c>
      <c r="W66" s="260">
        <v>15.719849999999999</v>
      </c>
      <c r="X66" s="260">
        <v>15.758534999999998</v>
      </c>
      <c r="Y66" s="260">
        <v>15.797111999999998</v>
      </c>
      <c r="Z66" s="260">
        <v>15.835579999999998</v>
      </c>
      <c r="AA66" s="260">
        <v>15.873937</v>
      </c>
      <c r="AB66" s="260">
        <v>15.912182999999999</v>
      </c>
      <c r="AC66" s="260">
        <v>15.950317999999999</v>
      </c>
      <c r="AD66" s="260">
        <v>15.988339</v>
      </c>
      <c r="AE66" s="260">
        <v>16.026246</v>
      </c>
      <c r="AF66" s="260">
        <v>16.064038999999998</v>
      </c>
      <c r="AG66" s="260">
        <v>16.101716</v>
      </c>
      <c r="AH66" s="260">
        <v>16.139275999999999</v>
      </c>
      <c r="AI66" s="260">
        <v>16.176718999999999</v>
      </c>
      <c r="AJ66" s="260">
        <v>16.214043</v>
      </c>
      <c r="AK66" s="260">
        <v>16.251248</v>
      </c>
      <c r="AL66" s="260">
        <v>16.288333999999999</v>
      </c>
      <c r="AM66" s="260">
        <v>16.325298999999998</v>
      </c>
      <c r="AN66" s="260">
        <v>16.362141999999999</v>
      </c>
      <c r="AO66" s="260">
        <v>16.398862999999999</v>
      </c>
      <c r="AP66" s="260">
        <v>16.435461</v>
      </c>
      <c r="AQ66" s="260">
        <v>16.471934999999998</v>
      </c>
      <c r="AR66" s="260">
        <v>16.508284</v>
      </c>
      <c r="AS66" s="260">
        <v>16.544508999999998</v>
      </c>
      <c r="AT66" s="260">
        <v>16.580607000000001</v>
      </c>
      <c r="AU66" s="260">
        <v>16.616578999999998</v>
      </c>
      <c r="AV66" s="260">
        <v>16.652424</v>
      </c>
      <c r="AW66" s="260">
        <v>16.688140999999998</v>
      </c>
      <c r="AX66" s="260">
        <v>16.72373</v>
      </c>
      <c r="AY66" s="260">
        <v>16.759188999999999</v>
      </c>
      <c r="AZ66" s="260">
        <v>16.794518</v>
      </c>
      <c r="BA66" s="260">
        <v>16.829718</v>
      </c>
      <c r="BB66" s="260">
        <v>16.864785999999999</v>
      </c>
      <c r="BC66" s="260">
        <v>16.899722999999998</v>
      </c>
      <c r="BD66" s="260">
        <v>16.934528</v>
      </c>
      <c r="BE66" s="260">
        <v>16.969200000000001</v>
      </c>
      <c r="BF66" s="260">
        <v>17.003740000000001</v>
      </c>
      <c r="BG66" s="260">
        <v>17.038145</v>
      </c>
      <c r="BH66" s="260">
        <v>17.072416999999998</v>
      </c>
      <c r="BI66" s="260">
        <v>17.106555</v>
      </c>
      <c r="BJ66" s="260">
        <v>17.140556999999998</v>
      </c>
      <c r="BK66" s="260">
        <v>17.174423999999998</v>
      </c>
      <c r="BL66" s="260">
        <v>17.208155999999999</v>
      </c>
      <c r="BM66" s="260">
        <v>17.241751000000001</v>
      </c>
      <c r="BN66" s="260">
        <v>17.275209999999998</v>
      </c>
      <c r="BO66" s="260">
        <v>17.308530999999999</v>
      </c>
      <c r="BP66" s="260">
        <v>17.341715999999998</v>
      </c>
      <c r="BQ66" s="260">
        <v>17.374762</v>
      </c>
      <c r="BR66" s="260">
        <v>17.407671000000001</v>
      </c>
      <c r="BS66" s="260">
        <v>17.440442000000001</v>
      </c>
      <c r="BT66" s="260">
        <v>17.473072999999999</v>
      </c>
      <c r="BU66" s="260">
        <v>17.505565999999998</v>
      </c>
      <c r="BV66" s="260">
        <v>17.53792</v>
      </c>
      <c r="BW66" s="260">
        <v>17.570133999999999</v>
      </c>
      <c r="BX66" s="260">
        <v>17.602208999999998</v>
      </c>
      <c r="BY66" s="260">
        <v>17.634143999999999</v>
      </c>
      <c r="BZ66" s="260">
        <v>17.665938000000001</v>
      </c>
      <c r="CA66" s="260">
        <v>17.697592</v>
      </c>
      <c r="CB66" s="260">
        <v>17.729105999999998</v>
      </c>
      <c r="CC66" s="260">
        <v>17.760479</v>
      </c>
      <c r="CD66" s="260">
        <v>17.791710999999999</v>
      </c>
      <c r="CE66" s="260">
        <v>17.822801999999999</v>
      </c>
      <c r="CF66" s="260">
        <v>17.853752</v>
      </c>
      <c r="CG66" s="260">
        <v>17.88456</v>
      </c>
      <c r="CH66" s="260">
        <v>17.915226999999998</v>
      </c>
    </row>
    <row r="67" spans="1:86" x14ac:dyDescent="0.25">
      <c r="A67" s="170">
        <v>1</v>
      </c>
      <c r="B67" s="170">
        <v>66</v>
      </c>
      <c r="C67" s="259">
        <v>14.075077056884766</v>
      </c>
      <c r="D67" s="259">
        <v>14.134893417358398</v>
      </c>
      <c r="E67" s="259">
        <v>14.194250106811523</v>
      </c>
      <c r="F67" s="259">
        <v>14.253149032592773</v>
      </c>
      <c r="G67" s="259">
        <v>14.311591148376465</v>
      </c>
      <c r="H67" s="259">
        <v>14.369577407836914</v>
      </c>
      <c r="I67" s="260">
        <v>14.681291</v>
      </c>
      <c r="J67" s="260">
        <v>14.727813999999999</v>
      </c>
      <c r="K67" s="260">
        <v>14.773016</v>
      </c>
      <c r="L67" s="260">
        <v>14.817055</v>
      </c>
      <c r="M67" s="260">
        <v>14.860085</v>
      </c>
      <c r="N67" s="260">
        <v>14.90226</v>
      </c>
      <c r="O67" s="260">
        <v>14.943722999999999</v>
      </c>
      <c r="P67" s="260">
        <v>14.984610999999999</v>
      </c>
      <c r="Q67" s="260">
        <v>15.025043999999999</v>
      </c>
      <c r="R67" s="260">
        <v>15.065125999999999</v>
      </c>
      <c r="S67" s="260">
        <v>15.104946</v>
      </c>
      <c r="T67" s="260">
        <v>15.144573999999999</v>
      </c>
      <c r="U67" s="260">
        <v>15.184059999999999</v>
      </c>
      <c r="V67" s="260">
        <v>15.223431999999999</v>
      </c>
      <c r="W67" s="260">
        <v>15.262701</v>
      </c>
      <c r="X67" s="260">
        <v>15.301864999999999</v>
      </c>
      <c r="Y67" s="260">
        <v>15.340923</v>
      </c>
      <c r="Z67" s="260">
        <v>15.379875</v>
      </c>
      <c r="AA67" s="260">
        <v>15.418718999999999</v>
      </c>
      <c r="AB67" s="260">
        <v>15.457453999999998</v>
      </c>
      <c r="AC67" s="260">
        <v>15.496079</v>
      </c>
      <c r="AD67" s="260">
        <v>15.534593999999998</v>
      </c>
      <c r="AE67" s="260">
        <v>15.572996999999999</v>
      </c>
      <c r="AF67" s="260">
        <v>15.611286999999999</v>
      </c>
      <c r="AG67" s="260">
        <v>15.649462999999999</v>
      </c>
      <c r="AH67" s="260">
        <v>15.687524999999999</v>
      </c>
      <c r="AI67" s="260">
        <v>15.725472</v>
      </c>
      <c r="AJ67" s="260">
        <v>15.763301999999999</v>
      </c>
      <c r="AK67" s="260">
        <v>15.801015</v>
      </c>
      <c r="AL67" s="260">
        <v>15.838609</v>
      </c>
      <c r="AM67" s="260">
        <v>15.876085</v>
      </c>
      <c r="AN67" s="260">
        <v>15.913440999999999</v>
      </c>
      <c r="AO67" s="260">
        <v>15.950676</v>
      </c>
      <c r="AP67" s="260">
        <v>15.987789999999999</v>
      </c>
      <c r="AQ67" s="260">
        <v>16.024781999999998</v>
      </c>
      <c r="AR67" s="260">
        <v>16.061650999999998</v>
      </c>
      <c r="AS67" s="260">
        <v>16.098396000000001</v>
      </c>
      <c r="AT67" s="260">
        <v>16.135016</v>
      </c>
      <c r="AU67" s="260">
        <v>16.171510999999999</v>
      </c>
      <c r="AV67" s="260">
        <v>16.207879999999999</v>
      </c>
      <c r="AW67" s="260">
        <v>16.244122999999998</v>
      </c>
      <c r="AX67" s="260">
        <v>16.280238000000001</v>
      </c>
      <c r="AY67" s="260">
        <v>16.316224999999999</v>
      </c>
      <c r="AZ67" s="260">
        <v>16.352083999999998</v>
      </c>
      <c r="BA67" s="260">
        <v>16.387812999999998</v>
      </c>
      <c r="BB67" s="260">
        <v>16.423413</v>
      </c>
      <c r="BC67" s="260">
        <v>16.458880999999998</v>
      </c>
      <c r="BD67" s="260">
        <v>16.494218999999998</v>
      </c>
      <c r="BE67" s="260">
        <v>16.529425</v>
      </c>
      <c r="BF67" s="260">
        <v>16.564498999999998</v>
      </c>
      <c r="BG67" s="260">
        <v>16.599439999999998</v>
      </c>
      <c r="BH67" s="260">
        <v>16.634247999999999</v>
      </c>
      <c r="BI67" s="260">
        <v>16.668921999999998</v>
      </c>
      <c r="BJ67" s="260">
        <v>16.703461000000001</v>
      </c>
      <c r="BK67" s="260">
        <v>16.737866</v>
      </c>
      <c r="BL67" s="260">
        <v>16.772136</v>
      </c>
      <c r="BM67" s="260">
        <v>16.806269999999998</v>
      </c>
      <c r="BN67" s="260">
        <v>16.840267000000001</v>
      </c>
      <c r="BO67" s="260">
        <v>16.874129</v>
      </c>
      <c r="BP67" s="260">
        <v>16.907852999999999</v>
      </c>
      <c r="BQ67" s="260">
        <v>16.941438999999999</v>
      </c>
      <c r="BR67" s="260">
        <v>16.974889000000001</v>
      </c>
      <c r="BS67" s="260">
        <v>17.008198999999998</v>
      </c>
      <c r="BT67" s="260">
        <v>17.041371999999999</v>
      </c>
      <c r="BU67" s="260">
        <v>17.074406</v>
      </c>
      <c r="BV67" s="260">
        <v>17.107299999999999</v>
      </c>
      <c r="BW67" s="260">
        <v>17.140055999999998</v>
      </c>
      <c r="BX67" s="260">
        <v>17.172670999999998</v>
      </c>
      <c r="BY67" s="260">
        <v>17.205147</v>
      </c>
      <c r="BZ67" s="260">
        <v>17.237482</v>
      </c>
      <c r="CA67" s="260">
        <v>17.269676999999998</v>
      </c>
      <c r="CB67" s="260">
        <v>17.301731999999998</v>
      </c>
      <c r="CC67" s="260">
        <v>17.333645000000001</v>
      </c>
      <c r="CD67" s="260">
        <v>17.365417000000001</v>
      </c>
      <c r="CE67" s="260">
        <v>17.397047999999998</v>
      </c>
      <c r="CF67" s="260">
        <v>17.428538</v>
      </c>
      <c r="CG67" s="260">
        <v>17.459886000000001</v>
      </c>
      <c r="CH67" s="260">
        <v>17.491091999999998</v>
      </c>
    </row>
    <row r="68" spans="1:86" x14ac:dyDescent="0.25">
      <c r="A68" s="170">
        <v>1</v>
      </c>
      <c r="B68" s="170">
        <v>67</v>
      </c>
      <c r="C68" s="259">
        <v>13.60288143157959</v>
      </c>
      <c r="D68" s="259">
        <v>13.662403106689453</v>
      </c>
      <c r="E68" s="259">
        <v>13.72148323059082</v>
      </c>
      <c r="F68" s="259">
        <v>13.780122756958008</v>
      </c>
      <c r="G68" s="259">
        <v>13.838321685791016</v>
      </c>
      <c r="H68" s="259">
        <v>13.896082878112793</v>
      </c>
      <c r="I68" s="260">
        <v>14.211689999999999</v>
      </c>
      <c r="J68" s="260">
        <v>14.259013999999999</v>
      </c>
      <c r="K68" s="260">
        <v>14.304953999999999</v>
      </c>
      <c r="L68" s="260">
        <v>14.34967</v>
      </c>
      <c r="M68" s="260">
        <v>14.393320999999998</v>
      </c>
      <c r="N68" s="260">
        <v>14.436067</v>
      </c>
      <c r="O68" s="260">
        <v>14.478057</v>
      </c>
      <c r="P68" s="260">
        <v>14.519435</v>
      </c>
      <c r="Q68" s="260">
        <v>14.560328999999999</v>
      </c>
      <c r="R68" s="260">
        <v>14.600854</v>
      </c>
      <c r="S68" s="260">
        <v>14.641103999999999</v>
      </c>
      <c r="T68" s="260">
        <v>14.681154999999999</v>
      </c>
      <c r="U68" s="260">
        <v>14.721062999999999</v>
      </c>
      <c r="V68" s="260">
        <v>14.760859999999999</v>
      </c>
      <c r="W68" s="260">
        <v>14.800555999999998</v>
      </c>
      <c r="X68" s="260">
        <v>14.84015</v>
      </c>
      <c r="Y68" s="260">
        <v>14.879641999999999</v>
      </c>
      <c r="Z68" s="260">
        <v>14.919029</v>
      </c>
      <c r="AA68" s="260">
        <v>14.958311999999999</v>
      </c>
      <c r="AB68" s="260">
        <v>14.997489</v>
      </c>
      <c r="AC68" s="260">
        <v>15.036557999999999</v>
      </c>
      <c r="AD68" s="260">
        <v>15.075519</v>
      </c>
      <c r="AE68" s="260">
        <v>15.114370999999998</v>
      </c>
      <c r="AF68" s="260">
        <v>15.153112999999999</v>
      </c>
      <c r="AG68" s="260">
        <v>15.191742999999999</v>
      </c>
      <c r="AH68" s="260">
        <v>15.230262</v>
      </c>
      <c r="AI68" s="260">
        <v>15.268666999999999</v>
      </c>
      <c r="AJ68" s="260">
        <v>15.306958</v>
      </c>
      <c r="AK68" s="260">
        <v>15.345132999999999</v>
      </c>
      <c r="AL68" s="260">
        <v>15.383192999999999</v>
      </c>
      <c r="AM68" s="260">
        <v>15.421135999999999</v>
      </c>
      <c r="AN68" s="260">
        <v>15.458960999999999</v>
      </c>
      <c r="AO68" s="260">
        <v>15.496668</v>
      </c>
      <c r="AP68" s="260">
        <v>15.534255</v>
      </c>
      <c r="AQ68" s="260">
        <v>15.571721999999999</v>
      </c>
      <c r="AR68" s="260">
        <v>15.609067</v>
      </c>
      <c r="AS68" s="260">
        <v>15.646289999999999</v>
      </c>
      <c r="AT68" s="260">
        <v>15.683390999999999</v>
      </c>
      <c r="AU68" s="260">
        <v>15.720367999999999</v>
      </c>
      <c r="AV68" s="260">
        <v>15.757219999999998</v>
      </c>
      <c r="AW68" s="260">
        <v>15.793947999999999</v>
      </c>
      <c r="AX68" s="260">
        <v>15.830549</v>
      </c>
      <c r="AY68" s="260">
        <v>15.867025</v>
      </c>
      <c r="AZ68" s="260">
        <v>15.903371999999999</v>
      </c>
      <c r="BA68" s="260">
        <v>15.939591999999999</v>
      </c>
      <c r="BB68" s="260">
        <v>15.975683</v>
      </c>
      <c r="BC68" s="260">
        <v>16.011644999999998</v>
      </c>
      <c r="BD68" s="260">
        <v>16.047477000000001</v>
      </c>
      <c r="BE68" s="260">
        <v>16.083178999999998</v>
      </c>
      <c r="BF68" s="260">
        <v>16.118748999999998</v>
      </c>
      <c r="BG68" s="260">
        <v>16.154187</v>
      </c>
      <c r="BH68" s="260">
        <v>16.189494</v>
      </c>
      <c r="BI68" s="260">
        <v>16.224667</v>
      </c>
      <c r="BJ68" s="260">
        <v>16.259706999999999</v>
      </c>
      <c r="BK68" s="260">
        <v>16.294612999999998</v>
      </c>
      <c r="BL68" s="260">
        <v>16.329384000000001</v>
      </c>
      <c r="BM68" s="260">
        <v>16.364020999999997</v>
      </c>
      <c r="BN68" s="260">
        <v>16.398522</v>
      </c>
      <c r="BO68" s="260">
        <v>16.432887000000001</v>
      </c>
      <c r="BP68" s="260">
        <v>16.467116000000001</v>
      </c>
      <c r="BQ68" s="260">
        <v>16.501207999999998</v>
      </c>
      <c r="BR68" s="260">
        <v>16.535163000000001</v>
      </c>
      <c r="BS68" s="260">
        <v>16.56898</v>
      </c>
      <c r="BT68" s="260">
        <v>16.60266</v>
      </c>
      <c r="BU68" s="260">
        <v>16.636201</v>
      </c>
      <c r="BV68" s="260">
        <v>16.669602999999999</v>
      </c>
      <c r="BW68" s="260">
        <v>16.702866</v>
      </c>
      <c r="BX68" s="260">
        <v>16.735989999999997</v>
      </c>
      <c r="BY68" s="260">
        <v>16.768974</v>
      </c>
      <c r="BZ68" s="260">
        <v>16.801818000000001</v>
      </c>
      <c r="CA68" s="260">
        <v>16.834522</v>
      </c>
      <c r="CB68" s="260">
        <v>16.867084999999999</v>
      </c>
      <c r="CC68" s="260">
        <v>16.899508000000001</v>
      </c>
      <c r="CD68" s="260">
        <v>16.931788999999998</v>
      </c>
      <c r="CE68" s="260">
        <v>16.963929</v>
      </c>
      <c r="CF68" s="260">
        <v>16.995927999999999</v>
      </c>
      <c r="CG68" s="260">
        <v>17.027784999999998</v>
      </c>
      <c r="CH68" s="260">
        <v>17.0595</v>
      </c>
    </row>
    <row r="69" spans="1:86" x14ac:dyDescent="0.25">
      <c r="A69" s="170">
        <v>1</v>
      </c>
      <c r="B69" s="170">
        <v>68</v>
      </c>
      <c r="C69" s="259">
        <v>13.129026412963867</v>
      </c>
      <c r="D69" s="259">
        <v>13.188048362731934</v>
      </c>
      <c r="E69" s="259">
        <v>13.246647834777832</v>
      </c>
      <c r="F69" s="259">
        <v>13.304827690124512</v>
      </c>
      <c r="G69" s="259">
        <v>13.362587928771973</v>
      </c>
      <c r="H69" s="259">
        <v>13.419927597045898</v>
      </c>
      <c r="I69" s="260">
        <v>13.74066</v>
      </c>
      <c r="J69" s="260">
        <v>13.788684</v>
      </c>
      <c r="K69" s="260">
        <v>13.83527</v>
      </c>
      <c r="L69" s="260">
        <v>13.880578999999999</v>
      </c>
      <c r="M69" s="260">
        <v>13.924773999999999</v>
      </c>
      <c r="N69" s="260">
        <v>13.968014999999999</v>
      </c>
      <c r="O69" s="260">
        <v>14.010461999999999</v>
      </c>
      <c r="P69" s="260">
        <v>14.052261</v>
      </c>
      <c r="Q69" s="260">
        <v>14.093548999999999</v>
      </c>
      <c r="R69" s="260">
        <v>14.134447</v>
      </c>
      <c r="S69" s="260">
        <v>14.175058</v>
      </c>
      <c r="T69" s="260">
        <v>14.215465</v>
      </c>
      <c r="U69" s="260">
        <v>14.255726999999998</v>
      </c>
      <c r="V69" s="260">
        <v>14.295879999999999</v>
      </c>
      <c r="W69" s="260">
        <v>14.335936</v>
      </c>
      <c r="X69" s="260">
        <v>14.375893</v>
      </c>
      <c r="Y69" s="260">
        <v>14.415751</v>
      </c>
      <c r="Z69" s="260">
        <v>14.455508</v>
      </c>
      <c r="AA69" s="260">
        <v>14.495163</v>
      </c>
      <c r="AB69" s="260">
        <v>14.534714999999998</v>
      </c>
      <c r="AC69" s="260">
        <v>14.574162999999999</v>
      </c>
      <c r="AD69" s="260">
        <v>14.613505999999999</v>
      </c>
      <c r="AE69" s="260">
        <v>14.652742</v>
      </c>
      <c r="AF69" s="260">
        <v>14.691870999999999</v>
      </c>
      <c r="AG69" s="260">
        <v>14.730891999999999</v>
      </c>
      <c r="AH69" s="260">
        <v>14.769803</v>
      </c>
      <c r="AI69" s="260">
        <v>14.808603999999999</v>
      </c>
      <c r="AJ69" s="260">
        <v>14.847292999999999</v>
      </c>
      <c r="AK69" s="260">
        <v>14.885869</v>
      </c>
      <c r="AL69" s="260">
        <v>14.924332</v>
      </c>
      <c r="AM69" s="260">
        <v>14.962681</v>
      </c>
      <c r="AN69" s="260">
        <v>15.000914</v>
      </c>
      <c r="AO69" s="260">
        <v>15.039031</v>
      </c>
      <c r="AP69" s="260">
        <v>15.077031</v>
      </c>
      <c r="AQ69" s="260">
        <v>15.114911999999999</v>
      </c>
      <c r="AR69" s="260">
        <v>15.152674999999999</v>
      </c>
      <c r="AS69" s="260">
        <v>15.190318</v>
      </c>
      <c r="AT69" s="260">
        <v>15.227839999999999</v>
      </c>
      <c r="AU69" s="260">
        <v>15.265239999999999</v>
      </c>
      <c r="AV69" s="260">
        <v>15.302517999999999</v>
      </c>
      <c r="AW69" s="260">
        <v>15.339671999999998</v>
      </c>
      <c r="AX69" s="260">
        <v>15.376702999999999</v>
      </c>
      <c r="AY69" s="260">
        <v>15.413608999999999</v>
      </c>
      <c r="AZ69" s="260">
        <v>15.450389999999999</v>
      </c>
      <c r="BA69" s="260">
        <v>15.487043999999999</v>
      </c>
      <c r="BB69" s="260">
        <v>15.523570999999999</v>
      </c>
      <c r="BC69" s="260">
        <v>15.559970999999999</v>
      </c>
      <c r="BD69" s="260">
        <v>15.596242</v>
      </c>
      <c r="BE69" s="260">
        <v>15.632384</v>
      </c>
      <c r="BF69" s="260">
        <v>15.668396</v>
      </c>
      <c r="BG69" s="260">
        <v>15.704279</v>
      </c>
      <c r="BH69" s="260">
        <v>15.740029999999999</v>
      </c>
      <c r="BI69" s="260">
        <v>15.775649</v>
      </c>
      <c r="BJ69" s="260">
        <v>15.811136999999999</v>
      </c>
      <c r="BK69" s="260">
        <v>15.846492</v>
      </c>
      <c r="BL69" s="260">
        <v>15.881713</v>
      </c>
      <c r="BM69" s="260">
        <v>15.916801</v>
      </c>
      <c r="BN69" s="260">
        <v>15.951753999999999</v>
      </c>
      <c r="BO69" s="260">
        <v>15.986573</v>
      </c>
      <c r="BP69" s="260">
        <v>16.021255999999997</v>
      </c>
      <c r="BQ69" s="260">
        <v>16.055803000000001</v>
      </c>
      <c r="BR69" s="260">
        <v>16.090214</v>
      </c>
      <c r="BS69" s="260">
        <v>16.124487999999999</v>
      </c>
      <c r="BT69" s="260">
        <v>16.158625000000001</v>
      </c>
      <c r="BU69" s="260">
        <v>16.192625</v>
      </c>
      <c r="BV69" s="260">
        <v>16.226485999999998</v>
      </c>
      <c r="BW69" s="260">
        <v>16.260209</v>
      </c>
      <c r="BX69" s="260">
        <v>16.293793999999998</v>
      </c>
      <c r="BY69" s="260">
        <v>16.327238999999999</v>
      </c>
      <c r="BZ69" s="260">
        <v>16.360544999999998</v>
      </c>
      <c r="CA69" s="260">
        <v>16.393711</v>
      </c>
      <c r="CB69" s="260">
        <v>16.426736999999999</v>
      </c>
      <c r="CC69" s="260">
        <v>16.459623000000001</v>
      </c>
      <c r="CD69" s="260">
        <v>16.492367999999999</v>
      </c>
      <c r="CE69" s="260">
        <v>16.524972999999999</v>
      </c>
      <c r="CF69" s="260">
        <v>16.557435999999999</v>
      </c>
      <c r="CG69" s="260">
        <v>16.589758</v>
      </c>
      <c r="CH69" s="260">
        <v>16.621938</v>
      </c>
    </row>
    <row r="70" spans="1:86" x14ac:dyDescent="0.25">
      <c r="A70" s="170">
        <v>1</v>
      </c>
      <c r="B70" s="170">
        <v>69</v>
      </c>
      <c r="C70" s="259">
        <v>12.654894828796387</v>
      </c>
      <c r="D70" s="259">
        <v>12.713184356689453</v>
      </c>
      <c r="E70" s="259">
        <v>12.771076202392578</v>
      </c>
      <c r="F70" s="259">
        <v>12.828569412231445</v>
      </c>
      <c r="G70" s="259">
        <v>12.885664939880371</v>
      </c>
      <c r="H70" s="259">
        <v>12.942364692687988</v>
      </c>
      <c r="I70" s="260">
        <v>13.270384</v>
      </c>
      <c r="J70" s="260">
        <v>13.318968</v>
      </c>
      <c r="K70" s="260">
        <v>13.366073</v>
      </c>
      <c r="L70" s="260">
        <v>13.411857999999999</v>
      </c>
      <c r="M70" s="260">
        <v>13.456488</v>
      </c>
      <c r="N70" s="260">
        <v>13.500126</v>
      </c>
      <c r="O70" s="260">
        <v>13.542933999999999</v>
      </c>
      <c r="P70" s="260">
        <v>13.585065</v>
      </c>
      <c r="Q70" s="260">
        <v>13.626659999999999</v>
      </c>
      <c r="R70" s="260">
        <v>13.667847999999999</v>
      </c>
      <c r="S70" s="260">
        <v>13.708737999999999</v>
      </c>
      <c r="T70" s="260">
        <v>13.749417999999999</v>
      </c>
      <c r="U70" s="260">
        <v>13.789950999999999</v>
      </c>
      <c r="V70" s="260">
        <v>13.830378999999999</v>
      </c>
      <c r="W70" s="260">
        <v>13.870714</v>
      </c>
      <c r="X70" s="260">
        <v>13.910952999999999</v>
      </c>
      <c r="Y70" s="260">
        <v>13.951096999999999</v>
      </c>
      <c r="Z70" s="260">
        <v>13.991142999999999</v>
      </c>
      <c r="AA70" s="260">
        <v>14.031091999999999</v>
      </c>
      <c r="AB70" s="260">
        <v>14.07094</v>
      </c>
      <c r="AC70" s="260">
        <v>14.110688999999999</v>
      </c>
      <c r="AD70" s="260">
        <v>14.150335</v>
      </c>
      <c r="AE70" s="260">
        <v>14.189878</v>
      </c>
      <c r="AF70" s="260">
        <v>14.229317</v>
      </c>
      <c r="AG70" s="260">
        <v>14.268651</v>
      </c>
      <c r="AH70" s="260">
        <v>14.307879</v>
      </c>
      <c r="AI70" s="260">
        <v>14.346998999999999</v>
      </c>
      <c r="AJ70" s="260">
        <v>14.386009999999999</v>
      </c>
      <c r="AK70" s="260">
        <v>14.424913</v>
      </c>
      <c r="AL70" s="260">
        <v>14.463704</v>
      </c>
      <c r="AM70" s="260">
        <v>14.502383999999999</v>
      </c>
      <c r="AN70" s="260">
        <v>14.540951999999999</v>
      </c>
      <c r="AO70" s="260">
        <v>14.579405999999999</v>
      </c>
      <c r="AP70" s="260">
        <v>14.617744999999999</v>
      </c>
      <c r="AQ70" s="260">
        <v>14.655968999999999</v>
      </c>
      <c r="AR70" s="260">
        <v>14.694077</v>
      </c>
      <c r="AS70" s="260">
        <v>14.732066999999999</v>
      </c>
      <c r="AT70" s="260">
        <v>14.769938999999999</v>
      </c>
      <c r="AU70" s="260">
        <v>14.807691</v>
      </c>
      <c r="AV70" s="260">
        <v>14.845324</v>
      </c>
      <c r="AW70" s="260">
        <v>14.882835999999999</v>
      </c>
      <c r="AX70" s="260">
        <v>14.920226</v>
      </c>
      <c r="AY70" s="260">
        <v>14.957493999999999</v>
      </c>
      <c r="AZ70" s="260">
        <v>14.994638999999999</v>
      </c>
      <c r="BA70" s="260">
        <v>15.031658999999999</v>
      </c>
      <c r="BB70" s="260">
        <v>15.068553999999999</v>
      </c>
      <c r="BC70" s="260">
        <v>15.105324</v>
      </c>
      <c r="BD70" s="260">
        <v>15.141966999999999</v>
      </c>
      <c r="BE70" s="260">
        <v>15.178483999999999</v>
      </c>
      <c r="BF70" s="260">
        <v>15.214872</v>
      </c>
      <c r="BG70" s="260">
        <v>15.251132</v>
      </c>
      <c r="BH70" s="260">
        <v>15.287262999999999</v>
      </c>
      <c r="BI70" s="260">
        <v>15.323264</v>
      </c>
      <c r="BJ70" s="260">
        <v>15.359133999999999</v>
      </c>
      <c r="BK70" s="260">
        <v>15.394874</v>
      </c>
      <c r="BL70" s="260">
        <v>15.430482</v>
      </c>
      <c r="BM70" s="260">
        <v>15.465957</v>
      </c>
      <c r="BN70" s="260">
        <v>15.501299999999999</v>
      </c>
      <c r="BO70" s="260">
        <v>15.536508999999999</v>
      </c>
      <c r="BP70" s="260">
        <v>15.571584999999999</v>
      </c>
      <c r="BQ70" s="260">
        <v>15.606525</v>
      </c>
      <c r="BR70" s="260">
        <v>15.641330999999999</v>
      </c>
      <c r="BS70" s="260">
        <v>15.676001999999999</v>
      </c>
      <c r="BT70" s="260">
        <v>15.710535999999999</v>
      </c>
      <c r="BU70" s="260">
        <v>15.744933999999999</v>
      </c>
      <c r="BV70" s="260">
        <v>15.779195999999999</v>
      </c>
      <c r="BW70" s="260">
        <v>15.813319999999999</v>
      </c>
      <c r="BX70" s="260">
        <v>15.847306</v>
      </c>
      <c r="BY70" s="260">
        <v>15.881155</v>
      </c>
      <c r="BZ70" s="260">
        <v>15.914864</v>
      </c>
      <c r="CA70" s="260">
        <v>15.948435</v>
      </c>
      <c r="CB70" s="260">
        <v>15.981866999999999</v>
      </c>
      <c r="CC70" s="260">
        <v>16.015159999999998</v>
      </c>
      <c r="CD70" s="260">
        <v>16.048311999999999</v>
      </c>
      <c r="CE70" s="260">
        <v>16.081325</v>
      </c>
      <c r="CF70" s="260">
        <v>16.114197000000001</v>
      </c>
      <c r="CG70" s="260">
        <v>16.146929</v>
      </c>
      <c r="CH70" s="260">
        <v>16.179518999999999</v>
      </c>
    </row>
    <row r="71" spans="1:86" x14ac:dyDescent="0.25">
      <c r="A71" s="170">
        <v>1</v>
      </c>
      <c r="B71" s="170">
        <v>70</v>
      </c>
      <c r="C71" s="259">
        <v>12.181268692016602</v>
      </c>
      <c r="D71" s="259">
        <v>12.23857593536377</v>
      </c>
      <c r="E71" s="259">
        <v>12.295511245727539</v>
      </c>
      <c r="F71" s="259">
        <v>12.352073669433594</v>
      </c>
      <c r="G71" s="259">
        <v>12.408265113830566</v>
      </c>
      <c r="H71" s="259">
        <v>12.464084625244141</v>
      </c>
      <c r="I71" s="260">
        <v>12.802017999999999</v>
      </c>
      <c r="J71" s="260">
        <v>12.850997999999999</v>
      </c>
      <c r="K71" s="260">
        <v>12.898472999999999</v>
      </c>
      <c r="L71" s="260">
        <v>12.944599</v>
      </c>
      <c r="M71" s="260">
        <v>12.989538999999999</v>
      </c>
      <c r="N71" s="260">
        <v>13.033458</v>
      </c>
      <c r="O71" s="260">
        <v>13.076519999999999</v>
      </c>
      <c r="P71" s="260">
        <v>13.118881999999999</v>
      </c>
      <c r="Q71" s="260">
        <v>13.160689</v>
      </c>
      <c r="R71" s="260">
        <v>13.202074</v>
      </c>
      <c r="S71" s="260">
        <v>13.243150999999999</v>
      </c>
      <c r="T71" s="260">
        <v>13.284013999999999</v>
      </c>
      <c r="U71" s="260">
        <v>13.324731999999999</v>
      </c>
      <c r="V71" s="260">
        <v>13.365347</v>
      </c>
      <c r="W71" s="260">
        <v>13.405871999999999</v>
      </c>
      <c r="X71" s="260">
        <v>13.446306999999999</v>
      </c>
      <c r="Y71" s="260">
        <v>13.486649999999999</v>
      </c>
      <c r="Z71" s="260">
        <v>13.526899999999999</v>
      </c>
      <c r="AA71" s="260">
        <v>13.567055999999999</v>
      </c>
      <c r="AB71" s="260">
        <v>13.607116</v>
      </c>
      <c r="AC71" s="260">
        <v>13.647079</v>
      </c>
      <c r="AD71" s="260">
        <v>13.686945</v>
      </c>
      <c r="AE71" s="260">
        <v>13.726709999999999</v>
      </c>
      <c r="AF71" s="260">
        <v>13.766375999999999</v>
      </c>
      <c r="AG71" s="260">
        <v>13.80594</v>
      </c>
      <c r="AH71" s="260">
        <v>13.845400999999999</v>
      </c>
      <c r="AI71" s="260">
        <v>13.884758</v>
      </c>
      <c r="AJ71" s="260">
        <v>13.924011</v>
      </c>
      <c r="AK71" s="260">
        <v>13.963156999999999</v>
      </c>
      <c r="AL71" s="260">
        <v>14.002196</v>
      </c>
      <c r="AM71" s="260">
        <v>14.041126999999999</v>
      </c>
      <c r="AN71" s="260">
        <v>14.079948</v>
      </c>
      <c r="AO71" s="260">
        <v>14.118658999999999</v>
      </c>
      <c r="AP71" s="260">
        <v>14.157259</v>
      </c>
      <c r="AQ71" s="260">
        <v>14.195746</v>
      </c>
      <c r="AR71" s="260">
        <v>14.234119999999999</v>
      </c>
      <c r="AS71" s="260">
        <v>14.27238</v>
      </c>
      <c r="AT71" s="260">
        <v>14.310523999999999</v>
      </c>
      <c r="AU71" s="260">
        <v>14.348552</v>
      </c>
      <c r="AV71" s="260">
        <v>14.386462999999999</v>
      </c>
      <c r="AW71" s="260">
        <v>14.424254999999999</v>
      </c>
      <c r="AX71" s="260">
        <v>14.461929</v>
      </c>
      <c r="AY71" s="260">
        <v>14.499483</v>
      </c>
      <c r="AZ71" s="260">
        <v>14.536916</v>
      </c>
      <c r="BA71" s="260">
        <v>14.574228</v>
      </c>
      <c r="BB71" s="260">
        <v>14.611416999999999</v>
      </c>
      <c r="BC71" s="260">
        <v>14.648482999999999</v>
      </c>
      <c r="BD71" s="260">
        <v>14.685424999999999</v>
      </c>
      <c r="BE71" s="260">
        <v>14.722242</v>
      </c>
      <c r="BF71" s="260">
        <v>14.758934</v>
      </c>
      <c r="BG71" s="260">
        <v>14.795499999999999</v>
      </c>
      <c r="BH71" s="260">
        <v>14.831939</v>
      </c>
      <c r="BI71" s="260">
        <v>14.86825</v>
      </c>
      <c r="BJ71" s="260">
        <v>14.904432</v>
      </c>
      <c r="BK71" s="260">
        <v>14.940486</v>
      </c>
      <c r="BL71" s="260">
        <v>14.97641</v>
      </c>
      <c r="BM71" s="260">
        <v>15.012203999999999</v>
      </c>
      <c r="BN71" s="260">
        <v>15.047867</v>
      </c>
      <c r="BO71" s="260">
        <v>15.083397999999999</v>
      </c>
      <c r="BP71" s="260">
        <v>15.118796999999999</v>
      </c>
      <c r="BQ71" s="260">
        <v>15.154064</v>
      </c>
      <c r="BR71" s="260">
        <v>15.189197</v>
      </c>
      <c r="BS71" s="260">
        <v>15.224196999999998</v>
      </c>
      <c r="BT71" s="260">
        <v>15.259062</v>
      </c>
      <c r="BU71" s="260">
        <v>15.293792999999999</v>
      </c>
      <c r="BV71" s="260">
        <v>15.328387999999999</v>
      </c>
      <c r="BW71" s="260">
        <v>15.362848</v>
      </c>
      <c r="BX71" s="260">
        <v>15.397171</v>
      </c>
      <c r="BY71" s="260">
        <v>15.431357999999999</v>
      </c>
      <c r="BZ71" s="260">
        <v>15.465408</v>
      </c>
      <c r="CA71" s="260">
        <v>15.499319999999999</v>
      </c>
      <c r="CB71" s="260">
        <v>15.533094</v>
      </c>
      <c r="CC71" s="260">
        <v>15.566730999999999</v>
      </c>
      <c r="CD71" s="260">
        <v>15.600228</v>
      </c>
      <c r="CE71" s="260">
        <v>15.633586999999999</v>
      </c>
      <c r="CF71" s="260">
        <v>15.666806999999999</v>
      </c>
      <c r="CG71" s="260">
        <v>15.699886999999999</v>
      </c>
      <c r="CH71" s="260">
        <v>15.732826999999999</v>
      </c>
    </row>
    <row r="72" spans="1:86" x14ac:dyDescent="0.25">
      <c r="A72" s="170">
        <v>1</v>
      </c>
      <c r="B72" s="170">
        <v>71</v>
      </c>
      <c r="C72" s="259">
        <v>11.709200859069824</v>
      </c>
      <c r="D72" s="259">
        <v>11.765342712402344</v>
      </c>
      <c r="E72" s="259">
        <v>11.821139335632324</v>
      </c>
      <c r="F72" s="259">
        <v>11.876590728759766</v>
      </c>
      <c r="G72" s="259">
        <v>11.931697845458984</v>
      </c>
      <c r="H72" s="259">
        <v>11.986459732055664</v>
      </c>
      <c r="I72" s="260">
        <v>12.335707999999999</v>
      </c>
      <c r="J72" s="260">
        <v>12.384914</v>
      </c>
      <c r="K72" s="260">
        <v>12.432604</v>
      </c>
      <c r="L72" s="260">
        <v>12.47893</v>
      </c>
      <c r="M72" s="260">
        <v>12.524051</v>
      </c>
      <c r="N72" s="260">
        <v>12.568133</v>
      </c>
      <c r="O72" s="260">
        <v>12.611338999999999</v>
      </c>
      <c r="P72" s="260">
        <v>12.653827999999999</v>
      </c>
      <c r="Q72" s="260">
        <v>12.695748999999999</v>
      </c>
      <c r="R72" s="260">
        <v>12.737236999999999</v>
      </c>
      <c r="S72" s="260">
        <v>12.778411999999999</v>
      </c>
      <c r="T72" s="260">
        <v>12.819369</v>
      </c>
      <c r="U72" s="260">
        <v>12.860182999999999</v>
      </c>
      <c r="V72" s="260">
        <v>12.900896999999999</v>
      </c>
      <c r="W72" s="260">
        <v>12.941526999999999</v>
      </c>
      <c r="X72" s="260">
        <v>12.98207</v>
      </c>
      <c r="Y72" s="260">
        <v>13.022525999999999</v>
      </c>
      <c r="Z72" s="260">
        <v>13.062894</v>
      </c>
      <c r="AA72" s="260">
        <v>13.103171</v>
      </c>
      <c r="AB72" s="260">
        <v>13.143357</v>
      </c>
      <c r="AC72" s="260">
        <v>13.183451</v>
      </c>
      <c r="AD72" s="260">
        <v>13.22345</v>
      </c>
      <c r="AE72" s="260">
        <v>13.263354999999999</v>
      </c>
      <c r="AF72" s="260">
        <v>13.303163</v>
      </c>
      <c r="AG72" s="260">
        <v>13.342872999999999</v>
      </c>
      <c r="AH72" s="260">
        <v>13.382484999999999</v>
      </c>
      <c r="AI72" s="260">
        <v>13.421996999999999</v>
      </c>
      <c r="AJ72" s="260">
        <v>13.461406999999999</v>
      </c>
      <c r="AK72" s="260">
        <v>13.500715999999999</v>
      </c>
      <c r="AL72" s="260">
        <v>13.539919999999999</v>
      </c>
      <c r="AM72" s="260">
        <v>13.579020999999999</v>
      </c>
      <c r="AN72" s="260">
        <v>13.618015</v>
      </c>
      <c r="AO72" s="260">
        <v>13.656903</v>
      </c>
      <c r="AP72" s="260">
        <v>13.695682999999999</v>
      </c>
      <c r="AQ72" s="260">
        <v>13.734354</v>
      </c>
      <c r="AR72" s="260">
        <v>13.772914999999999</v>
      </c>
      <c r="AS72" s="260">
        <v>13.811364999999999</v>
      </c>
      <c r="AT72" s="260">
        <v>13.849703</v>
      </c>
      <c r="AU72" s="260">
        <v>13.887927999999999</v>
      </c>
      <c r="AV72" s="260">
        <v>13.926038999999999</v>
      </c>
      <c r="AW72" s="260">
        <v>13.964034999999999</v>
      </c>
      <c r="AX72" s="260">
        <v>14.001914999999999</v>
      </c>
      <c r="AY72" s="260">
        <v>14.039679</v>
      </c>
      <c r="AZ72" s="260">
        <v>14.077325</v>
      </c>
      <c r="BA72" s="260">
        <v>14.114851999999999</v>
      </c>
      <c r="BB72" s="260">
        <v>14.15226</v>
      </c>
      <c r="BC72" s="260">
        <v>14.189546999999999</v>
      </c>
      <c r="BD72" s="260">
        <v>14.226713</v>
      </c>
      <c r="BE72" s="260">
        <v>14.263757999999999</v>
      </c>
      <c r="BF72" s="260">
        <v>14.300678999999999</v>
      </c>
      <c r="BG72" s="260">
        <v>14.337477</v>
      </c>
      <c r="BH72" s="260">
        <v>14.374150999999999</v>
      </c>
      <c r="BI72" s="260">
        <v>14.410698999999999</v>
      </c>
      <c r="BJ72" s="260">
        <v>14.447121999999998</v>
      </c>
      <c r="BK72" s="260">
        <v>14.483417999999999</v>
      </c>
      <c r="BL72" s="260">
        <v>14.519587</v>
      </c>
      <c r="BM72" s="260">
        <v>14.555629</v>
      </c>
      <c r="BN72" s="260">
        <v>14.591540999999999</v>
      </c>
      <c r="BO72" s="260">
        <v>14.627324</v>
      </c>
      <c r="BP72" s="260">
        <v>14.662977999999999</v>
      </c>
      <c r="BQ72" s="260">
        <v>14.698500999999998</v>
      </c>
      <c r="BR72" s="260">
        <v>14.733893</v>
      </c>
      <c r="BS72" s="260">
        <v>14.769152999999999</v>
      </c>
      <c r="BT72" s="260">
        <v>14.804281</v>
      </c>
      <c r="BU72" s="260">
        <v>14.839276</v>
      </c>
      <c r="BV72" s="260">
        <v>14.874137999999999</v>
      </c>
      <c r="BW72" s="260">
        <v>14.908866999999999</v>
      </c>
      <c r="BX72" s="260">
        <v>14.943460999999999</v>
      </c>
      <c r="BY72" s="260">
        <v>14.977919999999999</v>
      </c>
      <c r="BZ72" s="260">
        <v>15.012243999999999</v>
      </c>
      <c r="CA72" s="260">
        <v>15.046431999999999</v>
      </c>
      <c r="CB72" s="260">
        <v>15.080483999999998</v>
      </c>
      <c r="CC72" s="260">
        <v>15.1144</v>
      </c>
      <c r="CD72" s="260">
        <v>15.148178999999999</v>
      </c>
      <c r="CE72" s="260">
        <v>15.18182</v>
      </c>
      <c r="CF72" s="260">
        <v>15.215323999999999</v>
      </c>
      <c r="CG72" s="260">
        <v>15.24869</v>
      </c>
      <c r="CH72" s="260">
        <v>15.281917</v>
      </c>
    </row>
    <row r="73" spans="1:86" x14ac:dyDescent="0.25">
      <c r="A73" s="170">
        <v>1</v>
      </c>
      <c r="B73" s="170">
        <v>72</v>
      </c>
      <c r="C73" s="259">
        <v>11.238765716552734</v>
      </c>
      <c r="D73" s="259">
        <v>11.29347038269043</v>
      </c>
      <c r="E73" s="259">
        <v>11.347860336303711</v>
      </c>
      <c r="F73" s="259">
        <v>11.401934623718262</v>
      </c>
      <c r="G73" s="259">
        <v>11.455695152282715</v>
      </c>
      <c r="H73" s="259">
        <v>11.509139060974121</v>
      </c>
      <c r="I73" s="260">
        <v>11.870929</v>
      </c>
      <c r="J73" s="260">
        <v>11.920193999999999</v>
      </c>
      <c r="K73" s="260">
        <v>11.967948999999999</v>
      </c>
      <c r="L73" s="260">
        <v>12.014339</v>
      </c>
      <c r="M73" s="260">
        <v>12.059517999999999</v>
      </c>
      <c r="N73" s="260">
        <v>12.103648</v>
      </c>
      <c r="O73" s="260">
        <v>12.146891999999999</v>
      </c>
      <c r="P73" s="260">
        <v>12.189408999999999</v>
      </c>
      <c r="Q73" s="260">
        <v>12.231349999999999</v>
      </c>
      <c r="R73" s="260">
        <v>12.272853</v>
      </c>
      <c r="S73" s="260">
        <v>12.314038</v>
      </c>
      <c r="T73" s="260">
        <v>12.355006999999999</v>
      </c>
      <c r="U73" s="260">
        <v>12.395831999999999</v>
      </c>
      <c r="V73" s="260">
        <v>12.436563</v>
      </c>
      <c r="W73" s="260">
        <v>12.477214</v>
      </c>
      <c r="X73" s="260">
        <v>12.517783999999999</v>
      </c>
      <c r="Y73" s="260">
        <v>12.558271</v>
      </c>
      <c r="Z73" s="260">
        <v>12.598673999999999</v>
      </c>
      <c r="AA73" s="260">
        <v>12.638990999999999</v>
      </c>
      <c r="AB73" s="260">
        <v>12.679221999999999</v>
      </c>
      <c r="AC73" s="260">
        <v>12.719365</v>
      </c>
      <c r="AD73" s="260">
        <v>12.759418</v>
      </c>
      <c r="AE73" s="260">
        <v>12.799380999999999</v>
      </c>
      <c r="AF73" s="260">
        <v>12.839252</v>
      </c>
      <c r="AG73" s="260">
        <v>12.879028999999999</v>
      </c>
      <c r="AH73" s="260">
        <v>12.918711999999999</v>
      </c>
      <c r="AI73" s="260">
        <v>12.958299</v>
      </c>
      <c r="AJ73" s="260">
        <v>12.997788999999999</v>
      </c>
      <c r="AK73" s="260">
        <v>13.037180999999999</v>
      </c>
      <c r="AL73" s="260">
        <v>13.076473999999999</v>
      </c>
      <c r="AM73" s="260">
        <v>13.115665</v>
      </c>
      <c r="AN73" s="260">
        <v>13.154755999999999</v>
      </c>
      <c r="AO73" s="260">
        <v>13.193743</v>
      </c>
      <c r="AP73" s="260">
        <v>13.232626</v>
      </c>
      <c r="AQ73" s="260">
        <v>13.271405</v>
      </c>
      <c r="AR73" s="260">
        <v>13.310075999999999</v>
      </c>
      <c r="AS73" s="260">
        <v>13.348640999999999</v>
      </c>
      <c r="AT73" s="260">
        <v>13.387098</v>
      </c>
      <c r="AU73" s="260">
        <v>13.425443999999999</v>
      </c>
      <c r="AV73" s="260">
        <v>13.463680999999999</v>
      </c>
      <c r="AW73" s="260">
        <v>13.501806</v>
      </c>
      <c r="AX73" s="260">
        <v>13.539819</v>
      </c>
      <c r="AY73" s="260">
        <v>13.577717999999999</v>
      </c>
      <c r="AZ73" s="260">
        <v>13.615502999999999</v>
      </c>
      <c r="BA73" s="260">
        <v>13.653172999999999</v>
      </c>
      <c r="BB73" s="260">
        <v>13.690726</v>
      </c>
      <c r="BC73" s="260">
        <v>13.728162999999999</v>
      </c>
      <c r="BD73" s="260">
        <v>13.765480999999999</v>
      </c>
      <c r="BE73" s="260">
        <v>13.802681</v>
      </c>
      <c r="BF73" s="260">
        <v>13.83976</v>
      </c>
      <c r="BG73" s="260">
        <v>13.876719999999999</v>
      </c>
      <c r="BH73" s="260">
        <v>13.913558</v>
      </c>
      <c r="BI73" s="260">
        <v>13.950272999999999</v>
      </c>
      <c r="BJ73" s="260">
        <v>13.986865999999999</v>
      </c>
      <c r="BK73" s="260">
        <v>14.023334999999999</v>
      </c>
      <c r="BL73" s="260">
        <v>14.05968</v>
      </c>
      <c r="BM73" s="260">
        <v>14.095898999999999</v>
      </c>
      <c r="BN73" s="260">
        <v>14.131993</v>
      </c>
      <c r="BO73" s="260">
        <v>14.167959999999999</v>
      </c>
      <c r="BP73" s="260">
        <v>14.203799999999999</v>
      </c>
      <c r="BQ73" s="260">
        <v>14.239512</v>
      </c>
      <c r="BR73" s="260">
        <v>14.275094999999999</v>
      </c>
      <c r="BS73" s="260">
        <v>14.310549</v>
      </c>
      <c r="BT73" s="260">
        <v>14.345874</v>
      </c>
      <c r="BU73" s="260">
        <v>14.381067999999999</v>
      </c>
      <c r="BV73" s="260">
        <v>14.416131</v>
      </c>
      <c r="BW73" s="260">
        <v>14.451063</v>
      </c>
      <c r="BX73" s="260">
        <v>14.485861999999999</v>
      </c>
      <c r="BY73" s="260">
        <v>14.520529</v>
      </c>
      <c r="BZ73" s="260">
        <v>14.555062999999999</v>
      </c>
      <c r="CA73" s="260">
        <v>14.589464</v>
      </c>
      <c r="CB73" s="260">
        <v>14.62373</v>
      </c>
      <c r="CC73" s="260">
        <v>14.657862</v>
      </c>
      <c r="CD73" s="260">
        <v>14.691858999999999</v>
      </c>
      <c r="CE73" s="260">
        <v>14.725721</v>
      </c>
      <c r="CF73" s="260">
        <v>14.759447</v>
      </c>
      <c r="CG73" s="260">
        <v>14.793037</v>
      </c>
      <c r="CH73" s="260">
        <v>14.82649</v>
      </c>
    </row>
    <row r="74" spans="1:86" x14ac:dyDescent="0.25">
      <c r="A74" s="170">
        <v>1</v>
      </c>
      <c r="B74" s="170">
        <v>73</v>
      </c>
      <c r="C74" s="259">
        <v>10.771042823791504</v>
      </c>
      <c r="D74" s="259">
        <v>10.824010848999023</v>
      </c>
      <c r="E74" s="259">
        <v>10.876699447631836</v>
      </c>
      <c r="F74" s="259">
        <v>10.929105758666992</v>
      </c>
      <c r="G74" s="259">
        <v>10.981231689453125</v>
      </c>
      <c r="H74" s="259">
        <v>11.033075332641602</v>
      </c>
      <c r="I74" s="260">
        <v>11.406865999999999</v>
      </c>
      <c r="J74" s="260">
        <v>11.456033</v>
      </c>
      <c r="K74" s="260">
        <v>11.503712</v>
      </c>
      <c r="L74" s="260">
        <v>11.550037999999999</v>
      </c>
      <c r="M74" s="260">
        <v>11.595158</v>
      </c>
      <c r="N74" s="260">
        <v>11.639230999999999</v>
      </c>
      <c r="O74" s="260">
        <v>11.682416</v>
      </c>
      <c r="P74" s="260">
        <v>11.724871</v>
      </c>
      <c r="Q74" s="260">
        <v>11.766746999999999</v>
      </c>
      <c r="R74" s="260">
        <v>11.808180999999999</v>
      </c>
      <c r="S74" s="260">
        <v>11.849297999999999</v>
      </c>
      <c r="T74" s="260">
        <v>11.890198</v>
      </c>
      <c r="U74" s="260">
        <v>11.930959999999999</v>
      </c>
      <c r="V74" s="260">
        <v>11.971630999999999</v>
      </c>
      <c r="W74" s="260">
        <v>12.012226</v>
      </c>
      <c r="X74" s="260">
        <v>12.052745999999999</v>
      </c>
      <c r="Y74" s="260">
        <v>12.093188</v>
      </c>
      <c r="Z74" s="260">
        <v>12.133550999999999</v>
      </c>
      <c r="AA74" s="260">
        <v>12.173833</v>
      </c>
      <c r="AB74" s="260">
        <v>12.214032999999999</v>
      </c>
      <c r="AC74" s="260">
        <v>12.254149999999999</v>
      </c>
      <c r="AD74" s="260">
        <v>12.294183</v>
      </c>
      <c r="AE74" s="260">
        <v>12.334128999999999</v>
      </c>
      <c r="AF74" s="260">
        <v>12.373987999999999</v>
      </c>
      <c r="AG74" s="260">
        <v>12.413758</v>
      </c>
      <c r="AH74" s="260">
        <v>12.453438</v>
      </c>
      <c r="AI74" s="260">
        <v>12.493025999999999</v>
      </c>
      <c r="AJ74" s="260">
        <v>12.532522999999999</v>
      </c>
      <c r="AK74" s="260">
        <v>12.571925</v>
      </c>
      <c r="AL74" s="260">
        <v>12.611231999999999</v>
      </c>
      <c r="AM74" s="260">
        <v>12.650442999999999</v>
      </c>
      <c r="AN74" s="260">
        <v>12.689556</v>
      </c>
      <c r="AO74" s="260">
        <v>12.728570999999999</v>
      </c>
      <c r="AP74" s="260">
        <v>12.767486</v>
      </c>
      <c r="AQ74" s="260">
        <v>12.806298999999999</v>
      </c>
      <c r="AR74" s="260">
        <v>12.845011</v>
      </c>
      <c r="AS74" s="260">
        <v>12.883618999999999</v>
      </c>
      <c r="AT74" s="260">
        <v>12.922122999999999</v>
      </c>
      <c r="AU74" s="260">
        <v>12.960521</v>
      </c>
      <c r="AV74" s="260">
        <v>12.998813</v>
      </c>
      <c r="AW74" s="260">
        <v>13.036997</v>
      </c>
      <c r="AX74" s="260">
        <v>13.075071999999999</v>
      </c>
      <c r="AY74" s="260">
        <v>13.113037</v>
      </c>
      <c r="AZ74" s="260">
        <v>13.150891999999999</v>
      </c>
      <c r="BA74" s="260">
        <v>13.188635</v>
      </c>
      <c r="BB74" s="260">
        <v>13.226265999999999</v>
      </c>
      <c r="BC74" s="260">
        <v>13.263783</v>
      </c>
      <c r="BD74" s="260">
        <v>13.301185</v>
      </c>
      <c r="BE74" s="260">
        <v>13.338471999999999</v>
      </c>
      <c r="BF74" s="260">
        <v>13.375641999999999</v>
      </c>
      <c r="BG74" s="260">
        <v>13.412695999999999</v>
      </c>
      <c r="BH74" s="260">
        <v>13.449631</v>
      </c>
      <c r="BI74" s="260">
        <v>13.486447</v>
      </c>
      <c r="BJ74" s="260">
        <v>13.523142999999999</v>
      </c>
      <c r="BK74" s="260">
        <v>13.559718999999999</v>
      </c>
      <c r="BL74" s="260">
        <v>13.596174</v>
      </c>
      <c r="BM74" s="260">
        <v>13.632505999999999</v>
      </c>
      <c r="BN74" s="260">
        <v>13.668716</v>
      </c>
      <c r="BO74" s="260">
        <v>13.704801999999999</v>
      </c>
      <c r="BP74" s="260">
        <v>13.740762999999999</v>
      </c>
      <c r="BQ74" s="260">
        <v>13.7766</v>
      </c>
      <c r="BR74" s="260">
        <v>13.812310999999999</v>
      </c>
      <c r="BS74" s="260">
        <v>13.847894999999999</v>
      </c>
      <c r="BT74" s="260">
        <v>13.883351999999999</v>
      </c>
      <c r="BU74" s="260">
        <v>13.918681999999999</v>
      </c>
      <c r="BV74" s="260">
        <v>13.953883999999999</v>
      </c>
      <c r="BW74" s="260">
        <v>13.988956</v>
      </c>
      <c r="BX74" s="260">
        <v>14.023899</v>
      </c>
      <c r="BY74" s="260">
        <v>14.058712</v>
      </c>
      <c r="BZ74" s="260">
        <v>14.093394999999999</v>
      </c>
      <c r="CA74" s="260">
        <v>14.127946</v>
      </c>
      <c r="CB74" s="260">
        <v>14.162365999999999</v>
      </c>
      <c r="CC74" s="260">
        <v>14.196653999999999</v>
      </c>
      <c r="CD74" s="260">
        <v>14.230808999999999</v>
      </c>
      <c r="CE74" s="260">
        <v>14.264830999999999</v>
      </c>
      <c r="CF74" s="260">
        <v>14.298719999999999</v>
      </c>
      <c r="CG74" s="260">
        <v>14.332474999999999</v>
      </c>
      <c r="CH74" s="260">
        <v>14.366095</v>
      </c>
    </row>
    <row r="75" spans="1:86" x14ac:dyDescent="0.25">
      <c r="A75" s="170">
        <v>1</v>
      </c>
      <c r="B75" s="170">
        <v>74</v>
      </c>
      <c r="C75" s="259">
        <v>10.307437896728516</v>
      </c>
      <c r="D75" s="259">
        <v>10.358336448669434</v>
      </c>
      <c r="E75" s="259">
        <v>10.408991813659668</v>
      </c>
      <c r="F75" s="259">
        <v>10.459406852722168</v>
      </c>
      <c r="G75" s="259">
        <v>10.509578704833984</v>
      </c>
      <c r="H75" s="259">
        <v>10.559506416320801</v>
      </c>
      <c r="I75" s="260">
        <v>10.942824999999999</v>
      </c>
      <c r="J75" s="260">
        <v>10.991743999999999</v>
      </c>
      <c r="K75" s="260">
        <v>11.039213</v>
      </c>
      <c r="L75" s="260">
        <v>11.085355999999999</v>
      </c>
      <c r="M75" s="260">
        <v>11.130312</v>
      </c>
      <c r="N75" s="260">
        <v>11.17423</v>
      </c>
      <c r="O75" s="260">
        <v>11.217267</v>
      </c>
      <c r="P75" s="260">
        <v>11.259575999999999</v>
      </c>
      <c r="Q75" s="260">
        <v>11.301307</v>
      </c>
      <c r="R75" s="260">
        <v>11.342597999999999</v>
      </c>
      <c r="S75" s="260">
        <v>11.383571999999999</v>
      </c>
      <c r="T75" s="260">
        <v>11.424332999999999</v>
      </c>
      <c r="U75" s="260">
        <v>11.464959</v>
      </c>
      <c r="V75" s="260">
        <v>11.505499</v>
      </c>
      <c r="W75" s="260">
        <v>11.545968999999999</v>
      </c>
      <c r="X75" s="260">
        <v>11.586368</v>
      </c>
      <c r="Y75" s="260">
        <v>11.626693999999999</v>
      </c>
      <c r="Z75" s="260">
        <v>11.666945999999999</v>
      </c>
      <c r="AA75" s="260">
        <v>11.707122999999999</v>
      </c>
      <c r="AB75" s="260">
        <v>11.747223</v>
      </c>
      <c r="AC75" s="260">
        <v>11.787243999999999</v>
      </c>
      <c r="AD75" s="260">
        <v>11.827185</v>
      </c>
      <c r="AE75" s="260">
        <v>11.867044999999999</v>
      </c>
      <c r="AF75" s="260">
        <v>11.906822999999999</v>
      </c>
      <c r="AG75" s="260">
        <v>11.946515999999999</v>
      </c>
      <c r="AH75" s="260">
        <v>11.986124</v>
      </c>
      <c r="AI75" s="260">
        <v>12.025644999999999</v>
      </c>
      <c r="AJ75" s="260">
        <v>12.065078999999999</v>
      </c>
      <c r="AK75" s="260">
        <v>12.104422999999999</v>
      </c>
      <c r="AL75" s="260">
        <v>12.143675999999999</v>
      </c>
      <c r="AM75" s="260">
        <v>12.182838</v>
      </c>
      <c r="AN75" s="260">
        <v>12.221905999999999</v>
      </c>
      <c r="AO75" s="260">
        <v>12.26088</v>
      </c>
      <c r="AP75" s="260">
        <v>12.299757999999999</v>
      </c>
      <c r="AQ75" s="260">
        <v>12.33854</v>
      </c>
      <c r="AR75" s="260">
        <v>12.377224</v>
      </c>
      <c r="AS75" s="260">
        <v>12.415808</v>
      </c>
      <c r="AT75" s="260">
        <v>12.454291999999999</v>
      </c>
      <c r="AU75" s="260">
        <v>12.492675</v>
      </c>
      <c r="AV75" s="260">
        <v>12.530954999999999</v>
      </c>
      <c r="AW75" s="260">
        <v>12.569130999999999</v>
      </c>
      <c r="AX75" s="260">
        <v>12.607203</v>
      </c>
      <c r="AY75" s="260">
        <v>12.645168999999999</v>
      </c>
      <c r="AZ75" s="260">
        <v>12.683028</v>
      </c>
      <c r="BA75" s="260">
        <v>12.720779</v>
      </c>
      <c r="BB75" s="260">
        <v>12.758421</v>
      </c>
      <c r="BC75" s="260">
        <v>12.795952999999999</v>
      </c>
      <c r="BD75" s="260">
        <v>12.833373999999999</v>
      </c>
      <c r="BE75" s="260">
        <v>12.870683999999999</v>
      </c>
      <c r="BF75" s="260">
        <v>12.907881</v>
      </c>
      <c r="BG75" s="260">
        <v>12.944963999999999</v>
      </c>
      <c r="BH75" s="260">
        <v>12.981931999999999</v>
      </c>
      <c r="BI75" s="260">
        <v>13.018784999999999</v>
      </c>
      <c r="BJ75" s="260">
        <v>13.055522</v>
      </c>
      <c r="BK75" s="260">
        <v>13.092141</v>
      </c>
      <c r="BL75" s="260">
        <v>13.128643</v>
      </c>
      <c r="BM75" s="260">
        <v>13.165025</v>
      </c>
      <c r="BN75" s="260">
        <v>13.201288</v>
      </c>
      <c r="BO75" s="260">
        <v>13.237430999999999</v>
      </c>
      <c r="BP75" s="260">
        <v>13.273451999999999</v>
      </c>
      <c r="BQ75" s="260">
        <v>13.309350999999999</v>
      </c>
      <c r="BR75" s="260">
        <v>13.345127999999999</v>
      </c>
      <c r="BS75" s="260">
        <v>13.380782</v>
      </c>
      <c r="BT75" s="260">
        <v>13.416310999999999</v>
      </c>
      <c r="BU75" s="260">
        <v>13.451715999999999</v>
      </c>
      <c r="BV75" s="260">
        <v>13.486994999999999</v>
      </c>
      <c r="BW75" s="260">
        <v>13.522148999999999</v>
      </c>
      <c r="BX75" s="260">
        <v>13.557174999999999</v>
      </c>
      <c r="BY75" s="260">
        <v>13.592074999999999</v>
      </c>
      <c r="BZ75" s="260">
        <v>13.626847</v>
      </c>
      <c r="CA75" s="260">
        <v>13.661489999999999</v>
      </c>
      <c r="CB75" s="260">
        <v>13.696005</v>
      </c>
      <c r="CC75" s="260">
        <v>13.73039</v>
      </c>
      <c r="CD75" s="260">
        <v>13.764645</v>
      </c>
      <c r="CE75" s="260">
        <v>13.798769</v>
      </c>
      <c r="CF75" s="260">
        <v>13.832763</v>
      </c>
      <c r="CG75" s="260">
        <v>13.866624999999999</v>
      </c>
      <c r="CH75" s="260">
        <v>13.900355999999999</v>
      </c>
    </row>
    <row r="76" spans="1:86" x14ac:dyDescent="0.25">
      <c r="A76" s="170">
        <v>1</v>
      </c>
      <c r="B76" s="170">
        <v>75</v>
      </c>
      <c r="C76" s="259">
        <v>9.8493576049804688</v>
      </c>
      <c r="D76" s="259">
        <v>9.8978118896484375</v>
      </c>
      <c r="E76" s="259">
        <v>9.946070671081543</v>
      </c>
      <c r="F76" s="259">
        <v>9.9941320419311523</v>
      </c>
      <c r="G76" s="259">
        <v>10.041993141174316</v>
      </c>
      <c r="H76" s="259">
        <v>10.089653968811035</v>
      </c>
      <c r="I76" s="260">
        <v>10.478555999999999</v>
      </c>
      <c r="J76" s="260">
        <v>10.527082</v>
      </c>
      <c r="K76" s="260">
        <v>10.574211999999999</v>
      </c>
      <c r="L76" s="260">
        <v>10.620056999999999</v>
      </c>
      <c r="M76" s="260">
        <v>10.664745</v>
      </c>
      <c r="N76" s="260">
        <v>10.708416</v>
      </c>
      <c r="O76" s="260">
        <v>10.751218999999999</v>
      </c>
      <c r="P76" s="260">
        <v>10.793303999999999</v>
      </c>
      <c r="Q76" s="260">
        <v>10.834814999999999</v>
      </c>
      <c r="R76" s="260">
        <v>10.875890999999999</v>
      </c>
      <c r="S76" s="260">
        <v>10.916653999999999</v>
      </c>
      <c r="T76" s="260">
        <v>10.957207</v>
      </c>
      <c r="U76" s="260">
        <v>10.997629</v>
      </c>
      <c r="V76" s="260">
        <v>11.03797</v>
      </c>
      <c r="W76" s="260">
        <v>11.078246999999999</v>
      </c>
      <c r="X76" s="260">
        <v>11.118457999999999</v>
      </c>
      <c r="Y76" s="260">
        <v>11.158600999999999</v>
      </c>
      <c r="Z76" s="260">
        <v>11.198675</v>
      </c>
      <c r="AA76" s="260">
        <v>11.238678999999999</v>
      </c>
      <c r="AB76" s="260">
        <v>11.278611</v>
      </c>
      <c r="AC76" s="260">
        <v>11.318469</v>
      </c>
      <c r="AD76" s="260">
        <v>11.358252</v>
      </c>
      <c r="AE76" s="260">
        <v>11.397959</v>
      </c>
      <c r="AF76" s="260">
        <v>11.437588</v>
      </c>
      <c r="AG76" s="260">
        <v>11.477138</v>
      </c>
      <c r="AH76" s="260">
        <v>11.516606999999999</v>
      </c>
      <c r="AI76" s="260">
        <v>11.555994999999999</v>
      </c>
      <c r="AJ76" s="260">
        <v>11.595298</v>
      </c>
      <c r="AK76" s="260">
        <v>11.634518</v>
      </c>
      <c r="AL76" s="260">
        <v>11.673651</v>
      </c>
      <c r="AM76" s="260">
        <v>11.712697</v>
      </c>
      <c r="AN76" s="260">
        <v>11.751654</v>
      </c>
      <c r="AO76" s="260">
        <v>11.790521</v>
      </c>
      <c r="AP76" s="260">
        <v>11.829296999999999</v>
      </c>
      <c r="AQ76" s="260">
        <v>11.867981</v>
      </c>
      <c r="AR76" s="260">
        <v>11.906571</v>
      </c>
      <c r="AS76" s="260">
        <v>11.945065999999999</v>
      </c>
      <c r="AT76" s="260">
        <v>11.983464999999999</v>
      </c>
      <c r="AU76" s="260">
        <v>12.021766999999999</v>
      </c>
      <c r="AV76" s="260">
        <v>12.05997</v>
      </c>
      <c r="AW76" s="260">
        <v>12.098073999999999</v>
      </c>
      <c r="AX76" s="260">
        <v>12.136077</v>
      </c>
      <c r="AY76" s="260">
        <v>12.173978999999999</v>
      </c>
      <c r="AZ76" s="260">
        <v>12.211777</v>
      </c>
      <c r="BA76" s="260">
        <v>12.249471999999999</v>
      </c>
      <c r="BB76" s="260">
        <v>12.287061</v>
      </c>
      <c r="BC76" s="260">
        <v>12.324544999999999</v>
      </c>
      <c r="BD76" s="260">
        <v>12.361922</v>
      </c>
      <c r="BE76" s="260">
        <v>12.399189999999999</v>
      </c>
      <c r="BF76" s="260">
        <v>12.436349999999999</v>
      </c>
      <c r="BG76" s="260">
        <v>12.473398999999999</v>
      </c>
      <c r="BH76" s="260">
        <v>12.510337999999999</v>
      </c>
      <c r="BI76" s="260">
        <v>12.547165</v>
      </c>
      <c r="BJ76" s="260">
        <v>12.583879</v>
      </c>
      <c r="BK76" s="260">
        <v>12.620479999999999</v>
      </c>
      <c r="BL76" s="260">
        <v>12.656965999999999</v>
      </c>
      <c r="BM76" s="260">
        <v>12.693335999999999</v>
      </c>
      <c r="BN76" s="260">
        <v>12.729590999999999</v>
      </c>
      <c r="BO76" s="260">
        <v>12.765727999999999</v>
      </c>
      <c r="BP76" s="260">
        <v>12.801748</v>
      </c>
      <c r="BQ76" s="260">
        <v>12.837648999999999</v>
      </c>
      <c r="BR76" s="260">
        <v>12.873431</v>
      </c>
      <c r="BS76" s="260">
        <v>12.909091999999999</v>
      </c>
      <c r="BT76" s="260">
        <v>12.944633</v>
      </c>
      <c r="BU76" s="260">
        <v>12.980053</v>
      </c>
      <c r="BV76" s="260">
        <v>13.01535</v>
      </c>
      <c r="BW76" s="260">
        <v>13.050523999999999</v>
      </c>
      <c r="BX76" s="260">
        <v>13.085574999999999</v>
      </c>
      <c r="BY76" s="260">
        <v>13.120500999999999</v>
      </c>
      <c r="BZ76" s="260">
        <v>13.155303</v>
      </c>
      <c r="CA76" s="260">
        <v>13.18998</v>
      </c>
      <c r="CB76" s="260">
        <v>13.22453</v>
      </c>
      <c r="CC76" s="260">
        <v>13.258953999999999</v>
      </c>
      <c r="CD76" s="260">
        <v>13.293249999999999</v>
      </c>
      <c r="CE76" s="260">
        <v>13.32742</v>
      </c>
      <c r="CF76" s="260">
        <v>13.361461</v>
      </c>
      <c r="CG76" s="260">
        <v>13.395372999999999</v>
      </c>
      <c r="CH76" s="260">
        <v>13.429155999999999</v>
      </c>
    </row>
    <row r="77" spans="1:86" x14ac:dyDescent="0.25">
      <c r="A77" s="170">
        <v>1</v>
      </c>
      <c r="B77" s="170">
        <v>76</v>
      </c>
      <c r="C77" s="259">
        <v>9.4063577651977539</v>
      </c>
      <c r="D77" s="259">
        <v>9.453242301940918</v>
      </c>
      <c r="E77" s="259">
        <v>9.4999465942382813</v>
      </c>
      <c r="F77" s="259">
        <v>9.5464706420898438</v>
      </c>
      <c r="G77" s="259">
        <v>9.5928115844726563</v>
      </c>
      <c r="H77" s="259">
        <v>9.6389703750610352</v>
      </c>
      <c r="I77" s="260">
        <v>10.014481</v>
      </c>
      <c r="J77" s="260">
        <v>10.062465999999999</v>
      </c>
      <c r="K77" s="260">
        <v>10.109124</v>
      </c>
      <c r="L77" s="260">
        <v>10.154553</v>
      </c>
      <c r="M77" s="260">
        <v>10.198867999999999</v>
      </c>
      <c r="N77" s="260">
        <v>10.242198</v>
      </c>
      <c r="O77" s="260">
        <v>10.284682</v>
      </c>
      <c r="P77" s="260">
        <v>10.326461999999999</v>
      </c>
      <c r="Q77" s="260">
        <v>10.36768</v>
      </c>
      <c r="R77" s="260">
        <v>10.408469999999999</v>
      </c>
      <c r="S77" s="260">
        <v>10.448950999999999</v>
      </c>
      <c r="T77" s="260">
        <v>10.489227999999999</v>
      </c>
      <c r="U77" s="260">
        <v>10.529377999999999</v>
      </c>
      <c r="V77" s="260">
        <v>10.569452999999999</v>
      </c>
      <c r="W77" s="260">
        <v>10.609468</v>
      </c>
      <c r="X77" s="260">
        <v>10.649422999999999</v>
      </c>
      <c r="Y77" s="260">
        <v>10.689314999999999</v>
      </c>
      <c r="Z77" s="260">
        <v>10.729142999999999</v>
      </c>
      <c r="AA77" s="260">
        <v>10.768905999999999</v>
      </c>
      <c r="AB77" s="260">
        <v>10.808601999999999</v>
      </c>
      <c r="AC77" s="260">
        <v>10.848229</v>
      </c>
      <c r="AD77" s="260">
        <v>10.887786</v>
      </c>
      <c r="AE77" s="260">
        <v>10.927272</v>
      </c>
      <c r="AF77" s="260">
        <v>10.966685</v>
      </c>
      <c r="AG77" s="260">
        <v>11.006022999999999</v>
      </c>
      <c r="AH77" s="260">
        <v>11.045285999999999</v>
      </c>
      <c r="AI77" s="260">
        <v>11.084470999999999</v>
      </c>
      <c r="AJ77" s="260">
        <v>11.123576999999999</v>
      </c>
      <c r="AK77" s="260">
        <v>11.162604</v>
      </c>
      <c r="AL77" s="260">
        <v>11.201549</v>
      </c>
      <c r="AM77" s="260">
        <v>11.240411999999999</v>
      </c>
      <c r="AN77" s="260">
        <v>11.27919</v>
      </c>
      <c r="AO77" s="260">
        <v>11.317883</v>
      </c>
      <c r="AP77" s="260">
        <v>11.356489</v>
      </c>
      <c r="AQ77" s="260">
        <v>11.395007999999999</v>
      </c>
      <c r="AR77" s="260">
        <v>11.433437</v>
      </c>
      <c r="AS77" s="260">
        <v>11.471774999999999</v>
      </c>
      <c r="AT77" s="260">
        <v>11.510021999999999</v>
      </c>
      <c r="AU77" s="260">
        <v>11.548176</v>
      </c>
      <c r="AV77" s="260">
        <v>11.586236</v>
      </c>
      <c r="AW77" s="260">
        <v>11.6242</v>
      </c>
      <c r="AX77" s="260">
        <v>11.662068</v>
      </c>
      <c r="AY77" s="260">
        <v>11.699838999999999</v>
      </c>
      <c r="AZ77" s="260">
        <v>11.73751</v>
      </c>
      <c r="BA77" s="260">
        <v>11.775081999999999</v>
      </c>
      <c r="BB77" s="260">
        <v>11.812552999999999</v>
      </c>
      <c r="BC77" s="260">
        <v>11.849921999999999</v>
      </c>
      <c r="BD77" s="260">
        <v>11.887188</v>
      </c>
      <c r="BE77" s="260">
        <v>11.924348999999999</v>
      </c>
      <c r="BF77" s="260">
        <v>11.961406</v>
      </c>
      <c r="BG77" s="260">
        <v>11.998355999999999</v>
      </c>
      <c r="BH77" s="260">
        <v>12.0352</v>
      </c>
      <c r="BI77" s="260">
        <v>12.071935</v>
      </c>
      <c r="BJ77" s="260">
        <v>12.108561999999999</v>
      </c>
      <c r="BK77" s="260">
        <v>12.145078</v>
      </c>
      <c r="BL77" s="260">
        <v>12.181483999999999</v>
      </c>
      <c r="BM77" s="260">
        <v>12.217777999999999</v>
      </c>
      <c r="BN77" s="260">
        <v>12.253959999999999</v>
      </c>
      <c r="BO77" s="260">
        <v>12.290028</v>
      </c>
      <c r="BP77" s="260">
        <v>12.325982</v>
      </c>
      <c r="BQ77" s="260">
        <v>12.361820999999999</v>
      </c>
      <c r="BR77" s="260">
        <v>12.397544</v>
      </c>
      <c r="BS77" s="260">
        <v>12.433149999999999</v>
      </c>
      <c r="BT77" s="260">
        <v>12.468639</v>
      </c>
      <c r="BU77" s="260">
        <v>12.504009999999999</v>
      </c>
      <c r="BV77" s="260">
        <v>12.539261999999999</v>
      </c>
      <c r="BW77" s="260">
        <v>12.574394</v>
      </c>
      <c r="BX77" s="260">
        <v>12.609406</v>
      </c>
      <c r="BY77" s="260">
        <v>12.644297</v>
      </c>
      <c r="BZ77" s="260">
        <v>12.679067</v>
      </c>
      <c r="CA77" s="260">
        <v>12.713714999999999</v>
      </c>
      <c r="CB77" s="260">
        <v>12.748239</v>
      </c>
      <c r="CC77" s="260">
        <v>12.782639999999999</v>
      </c>
      <c r="CD77" s="260">
        <v>12.816917</v>
      </c>
      <c r="CE77" s="260">
        <v>12.85107</v>
      </c>
      <c r="CF77" s="260">
        <v>12.885097</v>
      </c>
      <c r="CG77" s="260">
        <v>12.918998999999999</v>
      </c>
      <c r="CH77" s="260">
        <v>12.952774999999999</v>
      </c>
    </row>
    <row r="78" spans="1:86" x14ac:dyDescent="0.25">
      <c r="A78" s="170">
        <v>1</v>
      </c>
      <c r="B78" s="170">
        <v>77</v>
      </c>
      <c r="C78" s="259">
        <v>8.9701738357543945</v>
      </c>
      <c r="D78" s="259">
        <v>9.0152349472045898</v>
      </c>
      <c r="E78" s="259">
        <v>9.0601348876953125</v>
      </c>
      <c r="F78" s="259">
        <v>9.1048727035522461</v>
      </c>
      <c r="G78" s="259">
        <v>9.1494474411010742</v>
      </c>
      <c r="H78" s="259">
        <v>9.1938562393188477</v>
      </c>
      <c r="I78" s="260">
        <v>9.5518419999999988</v>
      </c>
      <c r="J78" s="260">
        <v>9.5991280000000003</v>
      </c>
      <c r="K78" s="260">
        <v>9.6451729999999998</v>
      </c>
      <c r="L78" s="260">
        <v>9.690059999999999</v>
      </c>
      <c r="M78" s="260">
        <v>9.7338880000000003</v>
      </c>
      <c r="N78" s="260">
        <v>9.7767749999999989</v>
      </c>
      <c r="O78" s="260">
        <v>9.8188469999999999</v>
      </c>
      <c r="P78" s="260">
        <v>9.860239</v>
      </c>
      <c r="Q78" s="260">
        <v>9.9010829999999999</v>
      </c>
      <c r="R78" s="260">
        <v>9.9415099999999992</v>
      </c>
      <c r="S78" s="260">
        <v>9.981636</v>
      </c>
      <c r="T78" s="260">
        <v>10.021562999999999</v>
      </c>
      <c r="U78" s="260">
        <v>10.06137</v>
      </c>
      <c r="V78" s="260">
        <v>10.101104999999999</v>
      </c>
      <c r="W78" s="260">
        <v>10.140786</v>
      </c>
      <c r="X78" s="260">
        <v>10.180411999999999</v>
      </c>
      <c r="Y78" s="260">
        <v>10.21998</v>
      </c>
      <c r="Z78" s="260">
        <v>10.259489</v>
      </c>
      <c r="AA78" s="260">
        <v>10.298938</v>
      </c>
      <c r="AB78" s="260">
        <v>10.338324</v>
      </c>
      <c r="AC78" s="260">
        <v>10.377647999999999</v>
      </c>
      <c r="AD78" s="260">
        <v>10.416905</v>
      </c>
      <c r="AE78" s="260">
        <v>10.456097</v>
      </c>
      <c r="AF78" s="260">
        <v>10.49522</v>
      </c>
      <c r="AG78" s="260">
        <v>10.534272999999999</v>
      </c>
      <c r="AH78" s="260">
        <v>10.573255999999999</v>
      </c>
      <c r="AI78" s="260">
        <v>10.612166</v>
      </c>
      <c r="AJ78" s="260">
        <v>10.651002</v>
      </c>
      <c r="AK78" s="260">
        <v>10.689762999999999</v>
      </c>
      <c r="AL78" s="260">
        <v>10.728446999999999</v>
      </c>
      <c r="AM78" s="260">
        <v>10.767052</v>
      </c>
      <c r="AN78" s="260">
        <v>10.805579</v>
      </c>
      <c r="AO78" s="260">
        <v>10.844023999999999</v>
      </c>
      <c r="AP78" s="260">
        <v>10.882387</v>
      </c>
      <c r="AQ78" s="260">
        <v>10.920667</v>
      </c>
      <c r="AR78" s="260">
        <v>10.958862</v>
      </c>
      <c r="AS78" s="260">
        <v>10.996971</v>
      </c>
      <c r="AT78" s="260">
        <v>11.034991999999999</v>
      </c>
      <c r="AU78" s="260">
        <v>11.072925</v>
      </c>
      <c r="AV78" s="260">
        <v>11.110768999999999</v>
      </c>
      <c r="AW78" s="260">
        <v>11.148520999999999</v>
      </c>
      <c r="AX78" s="260">
        <v>11.186180999999999</v>
      </c>
      <c r="AY78" s="260">
        <v>11.223746999999999</v>
      </c>
      <c r="AZ78" s="260">
        <v>11.26122</v>
      </c>
      <c r="BA78" s="260">
        <v>11.298596</v>
      </c>
      <c r="BB78" s="260">
        <v>11.335875999999999</v>
      </c>
      <c r="BC78" s="260">
        <v>11.373056999999999</v>
      </c>
      <c r="BD78" s="260">
        <v>11.41014</v>
      </c>
      <c r="BE78" s="260">
        <v>11.447122999999999</v>
      </c>
      <c r="BF78" s="260">
        <v>11.484005</v>
      </c>
      <c r="BG78" s="260">
        <v>11.520783999999999</v>
      </c>
      <c r="BH78" s="260">
        <v>11.557461</v>
      </c>
      <c r="BI78" s="260">
        <v>11.594033</v>
      </c>
      <c r="BJ78" s="260">
        <v>11.6305</v>
      </c>
      <c r="BK78" s="260">
        <v>11.666862</v>
      </c>
      <c r="BL78" s="260">
        <v>11.703116</v>
      </c>
      <c r="BM78" s="260">
        <v>11.739262</v>
      </c>
      <c r="BN78" s="260">
        <v>11.7753</v>
      </c>
      <c r="BO78" s="260">
        <v>11.811228</v>
      </c>
      <c r="BP78" s="260">
        <v>11.847045999999999</v>
      </c>
      <c r="BQ78" s="260">
        <v>11.882752</v>
      </c>
      <c r="BR78" s="260">
        <v>11.918346</v>
      </c>
      <c r="BS78" s="260">
        <v>11.953826999999999</v>
      </c>
      <c r="BT78" s="260">
        <v>11.989193999999999</v>
      </c>
      <c r="BU78" s="260">
        <v>12.024445999999999</v>
      </c>
      <c r="BV78" s="260">
        <v>12.059583999999999</v>
      </c>
      <c r="BW78" s="260">
        <v>12.094605</v>
      </c>
      <c r="BX78" s="260">
        <v>12.129508999999999</v>
      </c>
      <c r="BY78" s="260">
        <v>12.164296</v>
      </c>
      <c r="BZ78" s="260">
        <v>12.198964999999999</v>
      </c>
      <c r="CA78" s="260">
        <v>12.233514999999999</v>
      </c>
      <c r="CB78" s="260">
        <v>12.267946</v>
      </c>
      <c r="CC78" s="260">
        <v>12.302256</v>
      </c>
      <c r="CD78" s="260">
        <v>12.336445999999999</v>
      </c>
      <c r="CE78" s="260">
        <v>12.370514</v>
      </c>
      <c r="CF78" s="260">
        <v>12.404461</v>
      </c>
      <c r="CG78" s="260">
        <v>12.438284999999999</v>
      </c>
      <c r="CH78" s="260">
        <v>12.471985999999999</v>
      </c>
    </row>
    <row r="79" spans="1:86" x14ac:dyDescent="0.25">
      <c r="A79" s="170">
        <v>1</v>
      </c>
      <c r="B79" s="170">
        <v>78</v>
      </c>
      <c r="C79" s="259">
        <v>8.5407199859619141</v>
      </c>
      <c r="D79" s="259">
        <v>8.5836915969848633</v>
      </c>
      <c r="E79" s="259">
        <v>8.6265230178833008</v>
      </c>
      <c r="F79" s="259">
        <v>8.6692132949829102</v>
      </c>
      <c r="G79" s="259">
        <v>8.7117595672607422</v>
      </c>
      <c r="H79" s="259">
        <v>8.7541627883911133</v>
      </c>
      <c r="I79" s="260">
        <v>9.0926650000000002</v>
      </c>
      <c r="J79" s="260">
        <v>9.1390789999999988</v>
      </c>
      <c r="K79" s="260">
        <v>9.184355</v>
      </c>
      <c r="L79" s="260">
        <v>9.2285570000000003</v>
      </c>
      <c r="M79" s="260">
        <v>9.2717720000000003</v>
      </c>
      <c r="N79" s="260">
        <v>9.3140999999999998</v>
      </c>
      <c r="O79" s="260">
        <v>9.3556559999999998</v>
      </c>
      <c r="P79" s="260">
        <v>9.3965630000000004</v>
      </c>
      <c r="Q79" s="260">
        <v>9.4369440000000004</v>
      </c>
      <c r="R79" s="260">
        <v>9.4769220000000001</v>
      </c>
      <c r="S79" s="260">
        <v>9.5166109999999993</v>
      </c>
      <c r="T79" s="260">
        <v>9.556106999999999</v>
      </c>
      <c r="U79" s="260">
        <v>9.5954870000000003</v>
      </c>
      <c r="V79" s="260">
        <v>9.6348019999999988</v>
      </c>
      <c r="W79" s="260">
        <v>9.6740680000000001</v>
      </c>
      <c r="X79" s="260">
        <v>9.7132829999999988</v>
      </c>
      <c r="Y79" s="260">
        <v>9.7524449999999998</v>
      </c>
      <c r="Z79" s="260">
        <v>9.7915539999999996</v>
      </c>
      <c r="AA79" s="260">
        <v>9.8306069999999988</v>
      </c>
      <c r="AB79" s="260">
        <v>9.8696020000000004</v>
      </c>
      <c r="AC79" s="260">
        <v>9.9085389999999993</v>
      </c>
      <c r="AD79" s="260">
        <v>9.9474149999999995</v>
      </c>
      <c r="AE79" s="260">
        <v>9.9862299999999991</v>
      </c>
      <c r="AF79" s="260">
        <v>10.024981</v>
      </c>
      <c r="AG79" s="260">
        <v>10.063666999999999</v>
      </c>
      <c r="AH79" s="260">
        <v>10.102286999999999</v>
      </c>
      <c r="AI79" s="260">
        <v>10.140839999999999</v>
      </c>
      <c r="AJ79" s="260">
        <v>10.179321999999999</v>
      </c>
      <c r="AK79" s="260">
        <v>10.217734</v>
      </c>
      <c r="AL79" s="260">
        <v>10.256074</v>
      </c>
      <c r="AM79" s="260">
        <v>10.294340999999999</v>
      </c>
      <c r="AN79" s="260">
        <v>10.332531999999999</v>
      </c>
      <c r="AO79" s="260">
        <v>10.370647</v>
      </c>
      <c r="AP79" s="260">
        <v>10.408685</v>
      </c>
      <c r="AQ79" s="260">
        <v>10.446643</v>
      </c>
      <c r="AR79" s="260">
        <v>10.484520999999999</v>
      </c>
      <c r="AS79" s="260">
        <v>10.522318</v>
      </c>
      <c r="AT79" s="260">
        <v>10.560031</v>
      </c>
      <c r="AU79" s="260">
        <v>10.597660999999999</v>
      </c>
      <c r="AV79" s="260">
        <v>10.635204999999999</v>
      </c>
      <c r="AW79" s="260">
        <v>10.672661999999999</v>
      </c>
      <c r="AX79" s="260">
        <v>10.710030999999999</v>
      </c>
      <c r="AY79" s="260">
        <v>10.747311999999999</v>
      </c>
      <c r="AZ79" s="260">
        <v>10.784502</v>
      </c>
      <c r="BA79" s="260">
        <v>10.8216</v>
      </c>
      <c r="BB79" s="260">
        <v>10.858606</v>
      </c>
      <c r="BC79" s="260">
        <v>10.895519</v>
      </c>
      <c r="BD79" s="260">
        <v>10.932335999999999</v>
      </c>
      <c r="BE79" s="260">
        <v>10.969057999999999</v>
      </c>
      <c r="BF79" s="260">
        <v>11.005682999999999</v>
      </c>
      <c r="BG79" s="260">
        <v>11.042209999999999</v>
      </c>
      <c r="BH79" s="260">
        <v>11.078636999999999</v>
      </c>
      <c r="BI79" s="260">
        <v>11.114965</v>
      </c>
      <c r="BJ79" s="260">
        <v>11.151192</v>
      </c>
      <c r="BK79" s="260">
        <v>11.187315999999999</v>
      </c>
      <c r="BL79" s="260">
        <v>11.223338</v>
      </c>
      <c r="BM79" s="260">
        <v>11.259255999999999</v>
      </c>
      <c r="BN79" s="260">
        <v>11.295067999999999</v>
      </c>
      <c r="BO79" s="260">
        <v>11.330776</v>
      </c>
      <c r="BP79" s="260">
        <v>11.366375999999999</v>
      </c>
      <c r="BQ79" s="260">
        <v>11.401869</v>
      </c>
      <c r="BR79" s="260">
        <v>11.437253999999999</v>
      </c>
      <c r="BS79" s="260">
        <v>11.472529</v>
      </c>
      <c r="BT79" s="260">
        <v>11.507693999999999</v>
      </c>
      <c r="BU79" s="260">
        <v>11.542748999999999</v>
      </c>
      <c r="BV79" s="260">
        <v>11.577691999999999</v>
      </c>
      <c r="BW79" s="260">
        <v>11.612522999999999</v>
      </c>
      <c r="BX79" s="260">
        <v>11.64724</v>
      </c>
      <c r="BY79" s="260">
        <v>11.681844</v>
      </c>
      <c r="BZ79" s="260">
        <v>11.716332999999999</v>
      </c>
      <c r="CA79" s="260">
        <v>11.750707</v>
      </c>
      <c r="CB79" s="260">
        <v>11.784965</v>
      </c>
      <c r="CC79" s="260">
        <v>11.819106999999999</v>
      </c>
      <c r="CD79" s="260">
        <v>11.853130999999999</v>
      </c>
      <c r="CE79" s="260">
        <v>11.887036999999999</v>
      </c>
      <c r="CF79" s="260">
        <v>11.920826</v>
      </c>
      <c r="CG79" s="260">
        <v>11.954495</v>
      </c>
      <c r="CH79" s="260">
        <v>11.988043999999999</v>
      </c>
    </row>
    <row r="80" spans="1:86" x14ac:dyDescent="0.25">
      <c r="A80" s="170">
        <v>1</v>
      </c>
      <c r="B80" s="170">
        <v>79</v>
      </c>
      <c r="C80" s="259">
        <v>8.1177482604980469</v>
      </c>
      <c r="D80" s="259">
        <v>8.1583471298217773</v>
      </c>
      <c r="E80" s="259">
        <v>8.1988286972045898</v>
      </c>
      <c r="F80" s="259">
        <v>8.2391939163208008</v>
      </c>
      <c r="G80" s="259">
        <v>8.2794389724731445</v>
      </c>
      <c r="H80" s="259">
        <v>8.3195638656616211</v>
      </c>
      <c r="I80" s="260">
        <v>8.6394609999999989</v>
      </c>
      <c r="J80" s="260">
        <v>8.6848169999999989</v>
      </c>
      <c r="K80" s="260">
        <v>8.7291499999999989</v>
      </c>
      <c r="L80" s="260">
        <v>8.7725109999999997</v>
      </c>
      <c r="M80" s="260">
        <v>8.8149680000000004</v>
      </c>
      <c r="N80" s="260">
        <v>8.8566070000000003</v>
      </c>
      <c r="O80" s="260">
        <v>8.8975279999999994</v>
      </c>
      <c r="P80" s="260">
        <v>8.9378399999999996</v>
      </c>
      <c r="Q80" s="260">
        <v>8.9776550000000004</v>
      </c>
      <c r="R80" s="260">
        <v>9.0170879999999993</v>
      </c>
      <c r="S80" s="260">
        <v>9.0562430000000003</v>
      </c>
      <c r="T80" s="260">
        <v>9.0952149999999996</v>
      </c>
      <c r="U80" s="260">
        <v>9.1340779999999988</v>
      </c>
      <c r="V80" s="260">
        <v>9.1728810000000003</v>
      </c>
      <c r="W80" s="260">
        <v>9.2116389999999999</v>
      </c>
      <c r="X80" s="260">
        <v>9.2503510000000002</v>
      </c>
      <c r="Y80" s="260">
        <v>9.2890149999999991</v>
      </c>
      <c r="Z80" s="260">
        <v>9.3276299999999992</v>
      </c>
      <c r="AA80" s="260">
        <v>9.3661940000000001</v>
      </c>
      <c r="AB80" s="260">
        <v>9.4047049999999999</v>
      </c>
      <c r="AC80" s="260">
        <v>9.4431619999999992</v>
      </c>
      <c r="AD80" s="260">
        <v>9.4815629999999995</v>
      </c>
      <c r="AE80" s="260">
        <v>9.5199079999999991</v>
      </c>
      <c r="AF80" s="260">
        <v>9.5581929999999993</v>
      </c>
      <c r="AG80" s="260">
        <v>9.5964179999999999</v>
      </c>
      <c r="AH80" s="260">
        <v>9.634582</v>
      </c>
      <c r="AI80" s="260">
        <v>9.672682</v>
      </c>
      <c r="AJ80" s="260">
        <v>9.7107169999999989</v>
      </c>
      <c r="AK80" s="260">
        <v>9.7486859999999993</v>
      </c>
      <c r="AL80" s="260">
        <v>9.7865880000000001</v>
      </c>
      <c r="AM80" s="260">
        <v>9.8244209999999992</v>
      </c>
      <c r="AN80" s="260">
        <v>9.8621829999999999</v>
      </c>
      <c r="AO80" s="260">
        <v>9.8998729999999995</v>
      </c>
      <c r="AP80" s="260">
        <v>9.9374900000000004</v>
      </c>
      <c r="AQ80" s="260">
        <v>9.9750319999999988</v>
      </c>
      <c r="AR80" s="260">
        <v>10.012499</v>
      </c>
      <c r="AS80" s="260">
        <v>10.049887999999999</v>
      </c>
      <c r="AT80" s="260">
        <v>10.087199</v>
      </c>
      <c r="AU80" s="260">
        <v>10.12443</v>
      </c>
      <c r="AV80" s="260">
        <v>10.161579999999999</v>
      </c>
      <c r="AW80" s="260">
        <v>10.198648</v>
      </c>
      <c r="AX80" s="260">
        <v>10.235631999999999</v>
      </c>
      <c r="AY80" s="260">
        <v>10.272532</v>
      </c>
      <c r="AZ80" s="260">
        <v>10.309344999999999</v>
      </c>
      <c r="BA80" s="260">
        <v>10.346071999999999</v>
      </c>
      <c r="BB80" s="260">
        <v>10.382709999999999</v>
      </c>
      <c r="BC80" s="260">
        <v>10.419257999999999</v>
      </c>
      <c r="BD80" s="260">
        <v>10.455715999999999</v>
      </c>
      <c r="BE80" s="260">
        <v>10.492082999999999</v>
      </c>
      <c r="BF80" s="260">
        <v>10.528355999999999</v>
      </c>
      <c r="BG80" s="260">
        <v>10.564536</v>
      </c>
      <c r="BH80" s="260">
        <v>10.600621</v>
      </c>
      <c r="BI80" s="260">
        <v>10.636611</v>
      </c>
      <c r="BJ80" s="260">
        <v>10.672502999999999</v>
      </c>
      <c r="BK80" s="260">
        <v>10.708297</v>
      </c>
      <c r="BL80" s="260">
        <v>10.743993</v>
      </c>
      <c r="BM80" s="260">
        <v>10.779588</v>
      </c>
      <c r="BN80" s="260">
        <v>10.815083</v>
      </c>
      <c r="BO80" s="260">
        <v>10.850475999999999</v>
      </c>
      <c r="BP80" s="260">
        <v>10.885767</v>
      </c>
      <c r="BQ80" s="260">
        <v>10.920954</v>
      </c>
      <c r="BR80" s="260">
        <v>10.956035999999999</v>
      </c>
      <c r="BS80" s="260">
        <v>10.991014</v>
      </c>
      <c r="BT80" s="260">
        <v>11.025884999999999</v>
      </c>
      <c r="BU80" s="260">
        <v>11.060649999999999</v>
      </c>
      <c r="BV80" s="260">
        <v>11.095307</v>
      </c>
      <c r="BW80" s="260">
        <v>11.129854999999999</v>
      </c>
      <c r="BX80" s="260">
        <v>11.164294</v>
      </c>
      <c r="BY80" s="260">
        <v>11.198623</v>
      </c>
      <c r="BZ80" s="260">
        <v>11.232842</v>
      </c>
      <c r="CA80" s="260">
        <v>11.266949</v>
      </c>
      <c r="CB80" s="260">
        <v>11.300943999999999</v>
      </c>
      <c r="CC80" s="260">
        <v>11.334826999999999</v>
      </c>
      <c r="CD80" s="260">
        <v>11.368594999999999</v>
      </c>
      <c r="CE80" s="260">
        <v>11.402249999999999</v>
      </c>
      <c r="CF80" s="260">
        <v>11.435789999999999</v>
      </c>
      <c r="CG80" s="260">
        <v>11.469215</v>
      </c>
      <c r="CH80" s="260">
        <v>11.502523999999999</v>
      </c>
    </row>
    <row r="81" spans="1:86" x14ac:dyDescent="0.25">
      <c r="A81" s="170">
        <v>1</v>
      </c>
      <c r="B81" s="170">
        <v>80</v>
      </c>
      <c r="C81" s="259">
        <v>7.7011628150939941</v>
      </c>
      <c r="D81" s="259">
        <v>7.7390809059143066</v>
      </c>
      <c r="E81" s="259">
        <v>7.7769098281860352</v>
      </c>
      <c r="F81" s="259">
        <v>7.8146491050720215</v>
      </c>
      <c r="G81" s="259">
        <v>7.8522958755493164</v>
      </c>
      <c r="H81" s="259">
        <v>7.8898510932922363</v>
      </c>
      <c r="I81" s="260">
        <v>8.1948159999999994</v>
      </c>
      <c r="J81" s="260">
        <v>8.2389159999999997</v>
      </c>
      <c r="K81" s="260">
        <v>8.2821230000000003</v>
      </c>
      <c r="L81" s="260">
        <v>8.3244720000000001</v>
      </c>
      <c r="M81" s="260">
        <v>8.3660149999999991</v>
      </c>
      <c r="N81" s="260">
        <v>8.406820999999999</v>
      </c>
      <c r="O81" s="260">
        <v>8.4469739999999991</v>
      </c>
      <c r="P81" s="260">
        <v>8.4865680000000001</v>
      </c>
      <c r="Q81" s="260">
        <v>8.525701999999999</v>
      </c>
      <c r="R81" s="260">
        <v>8.5644779999999994</v>
      </c>
      <c r="S81" s="260">
        <v>8.6029959999999992</v>
      </c>
      <c r="T81" s="260">
        <v>8.6413399999999996</v>
      </c>
      <c r="U81" s="260">
        <v>8.6795829999999992</v>
      </c>
      <c r="V81" s="260">
        <v>8.7177699999999998</v>
      </c>
      <c r="W81" s="260">
        <v>8.7559170000000002</v>
      </c>
      <c r="X81" s="260">
        <v>8.794022</v>
      </c>
      <c r="Y81" s="260">
        <v>8.832084</v>
      </c>
      <c r="Z81" s="260">
        <v>8.8701019999999993</v>
      </c>
      <c r="AA81" s="260">
        <v>8.9080719999999989</v>
      </c>
      <c r="AB81" s="260">
        <v>8.9459949999999999</v>
      </c>
      <c r="AC81" s="260">
        <v>8.9838679999999993</v>
      </c>
      <c r="AD81" s="260">
        <v>9.0216890000000003</v>
      </c>
      <c r="AE81" s="260">
        <v>9.0594579999999993</v>
      </c>
      <c r="AF81" s="260">
        <v>9.0971719999999987</v>
      </c>
      <c r="AG81" s="260">
        <v>9.1348310000000001</v>
      </c>
      <c r="AH81" s="260">
        <v>9.1724319999999988</v>
      </c>
      <c r="AI81" s="260">
        <v>9.209973999999999</v>
      </c>
      <c r="AJ81" s="260">
        <v>9.2474559999999997</v>
      </c>
      <c r="AK81" s="260">
        <v>9.2848769999999998</v>
      </c>
      <c r="AL81" s="260">
        <v>9.3222339999999999</v>
      </c>
      <c r="AM81" s="260">
        <v>9.3595259999999989</v>
      </c>
      <c r="AN81" s="260">
        <v>9.3967519999999993</v>
      </c>
      <c r="AO81" s="260">
        <v>9.4339110000000002</v>
      </c>
      <c r="AP81" s="260">
        <v>9.4710009999999993</v>
      </c>
      <c r="AQ81" s="260">
        <v>9.5080209999999994</v>
      </c>
      <c r="AR81" s="260">
        <v>9.5449699999999993</v>
      </c>
      <c r="AS81" s="260">
        <v>9.5818449999999995</v>
      </c>
      <c r="AT81" s="260">
        <v>9.618646</v>
      </c>
      <c r="AU81" s="260">
        <v>9.6553719999999998</v>
      </c>
      <c r="AV81" s="260">
        <v>9.6920219999999997</v>
      </c>
      <c r="AW81" s="260">
        <v>9.728593</v>
      </c>
      <c r="AX81" s="260">
        <v>9.7650849999999991</v>
      </c>
      <c r="AY81" s="260">
        <v>9.8014960000000002</v>
      </c>
      <c r="AZ81" s="260">
        <v>9.8378259999999997</v>
      </c>
      <c r="BA81" s="260">
        <v>9.8740740000000002</v>
      </c>
      <c r="BB81" s="260">
        <v>9.9102370000000004</v>
      </c>
      <c r="BC81" s="260">
        <v>9.9463150000000002</v>
      </c>
      <c r="BD81" s="260">
        <v>9.9823069999999987</v>
      </c>
      <c r="BE81" s="260">
        <v>10.018210999999999</v>
      </c>
      <c r="BF81" s="260">
        <v>10.054027</v>
      </c>
      <c r="BG81" s="260">
        <v>10.089753999999999</v>
      </c>
      <c r="BH81" s="260">
        <v>10.125389</v>
      </c>
      <c r="BI81" s="260">
        <v>10.160933999999999</v>
      </c>
      <c r="BJ81" s="260">
        <v>10.196384999999999</v>
      </c>
      <c r="BK81" s="260">
        <v>10.231743</v>
      </c>
      <c r="BL81" s="260">
        <v>10.267006</v>
      </c>
      <c r="BM81" s="260">
        <v>10.302173999999999</v>
      </c>
      <c r="BN81" s="260">
        <v>10.337244999999999</v>
      </c>
      <c r="BO81" s="260">
        <v>10.372218</v>
      </c>
      <c r="BP81" s="260">
        <v>10.407093</v>
      </c>
      <c r="BQ81" s="260">
        <v>10.441868999999999</v>
      </c>
      <c r="BR81" s="260">
        <v>10.476545</v>
      </c>
      <c r="BS81" s="260">
        <v>10.511118999999999</v>
      </c>
      <c r="BT81" s="260">
        <v>10.545591999999999</v>
      </c>
      <c r="BU81" s="260">
        <v>10.579962</v>
      </c>
      <c r="BV81" s="260">
        <v>10.614227999999999</v>
      </c>
      <c r="BW81" s="260">
        <v>10.648389999999999</v>
      </c>
      <c r="BX81" s="260">
        <v>10.682447</v>
      </c>
      <c r="BY81" s="260">
        <v>10.716398</v>
      </c>
      <c r="BZ81" s="260">
        <v>10.750242</v>
      </c>
      <c r="CA81" s="260">
        <v>10.783978999999999</v>
      </c>
      <c r="CB81" s="260">
        <v>10.817608</v>
      </c>
      <c r="CC81" s="260">
        <v>10.851127999999999</v>
      </c>
      <c r="CD81" s="260">
        <v>10.884539</v>
      </c>
      <c r="CE81" s="260">
        <v>10.91784</v>
      </c>
      <c r="CF81" s="260">
        <v>10.951029999999999</v>
      </c>
      <c r="CG81" s="260">
        <v>10.984109</v>
      </c>
      <c r="CH81" s="260">
        <v>11.017075</v>
      </c>
    </row>
    <row r="82" spans="1:86" x14ac:dyDescent="0.25">
      <c r="A82" s="170">
        <v>1</v>
      </c>
      <c r="B82" s="170">
        <v>81</v>
      </c>
      <c r="C82" s="259">
        <v>7.2991352081298828</v>
      </c>
      <c r="D82" s="259">
        <v>7.3352560997009277</v>
      </c>
      <c r="E82" s="259">
        <v>7.3712949752807617</v>
      </c>
      <c r="F82" s="259">
        <v>7.4072527885437012</v>
      </c>
      <c r="G82" s="259">
        <v>7.4431281089782715</v>
      </c>
      <c r="H82" s="259">
        <v>7.4789199829101563</v>
      </c>
      <c r="I82" s="260">
        <v>7.7610189999999992</v>
      </c>
      <c r="J82" s="260">
        <v>7.8036709999999996</v>
      </c>
      <c r="K82" s="260">
        <v>7.8455659999999998</v>
      </c>
      <c r="L82" s="260">
        <v>7.8867279999999997</v>
      </c>
      <c r="M82" s="260">
        <v>7.9271929999999999</v>
      </c>
      <c r="N82" s="260">
        <v>7.9670139999999998</v>
      </c>
      <c r="O82" s="260">
        <v>8.0062560000000005</v>
      </c>
      <c r="P82" s="260">
        <v>8.0449989999999989</v>
      </c>
      <c r="Q82" s="260">
        <v>8.0833269999999988</v>
      </c>
      <c r="R82" s="260">
        <v>8.1213289999999994</v>
      </c>
      <c r="S82" s="260">
        <v>8.1590919999999993</v>
      </c>
      <c r="T82" s="260">
        <v>8.1966959999999993</v>
      </c>
      <c r="U82" s="260">
        <v>8.2342060000000004</v>
      </c>
      <c r="V82" s="260">
        <v>8.2716650000000005</v>
      </c>
      <c r="W82" s="260">
        <v>8.3090890000000002</v>
      </c>
      <c r="X82" s="260">
        <v>8.3464749999999999</v>
      </c>
      <c r="Y82" s="260">
        <v>8.3838209999999993</v>
      </c>
      <c r="Z82" s="260">
        <v>8.4211270000000003</v>
      </c>
      <c r="AA82" s="260">
        <v>8.4583899999999996</v>
      </c>
      <c r="AB82" s="260">
        <v>8.4956099999999992</v>
      </c>
      <c r="AC82" s="260">
        <v>8.5327839999999995</v>
      </c>
      <c r="AD82" s="260">
        <v>8.5699109999999994</v>
      </c>
      <c r="AE82" s="260">
        <v>8.6069890000000004</v>
      </c>
      <c r="AF82" s="260">
        <v>8.6440169999999998</v>
      </c>
      <c r="AG82" s="260">
        <v>8.6809929999999991</v>
      </c>
      <c r="AH82" s="260">
        <v>8.7179159999999989</v>
      </c>
      <c r="AI82" s="260">
        <v>8.754785</v>
      </c>
      <c r="AJ82" s="260">
        <v>8.7915969999999994</v>
      </c>
      <c r="AK82" s="260">
        <v>8.8283519999999989</v>
      </c>
      <c r="AL82" s="260">
        <v>8.8650479999999998</v>
      </c>
      <c r="AM82" s="260">
        <v>8.9016830000000002</v>
      </c>
      <c r="AN82" s="260">
        <v>8.9382570000000001</v>
      </c>
      <c r="AO82" s="260">
        <v>8.9747669999999999</v>
      </c>
      <c r="AP82" s="260">
        <v>9.0112129999999997</v>
      </c>
      <c r="AQ82" s="260">
        <v>9.0475929999999991</v>
      </c>
      <c r="AR82" s="260">
        <v>9.0839059999999989</v>
      </c>
      <c r="AS82" s="260">
        <v>9.1201499999999989</v>
      </c>
      <c r="AT82" s="260">
        <v>9.1563239999999997</v>
      </c>
      <c r="AU82" s="260">
        <v>9.1924270000000003</v>
      </c>
      <c r="AV82" s="260">
        <v>9.2284579999999998</v>
      </c>
      <c r="AW82" s="260">
        <v>9.2644140000000004</v>
      </c>
      <c r="AX82" s="260">
        <v>9.3002959999999995</v>
      </c>
      <c r="AY82" s="260">
        <v>9.3361020000000003</v>
      </c>
      <c r="AZ82" s="260">
        <v>9.3718310000000002</v>
      </c>
      <c r="BA82" s="260">
        <v>9.4074809999999989</v>
      </c>
      <c r="BB82" s="260">
        <v>9.4430509999999988</v>
      </c>
      <c r="BC82" s="260">
        <v>9.4785409999999999</v>
      </c>
      <c r="BD82" s="260">
        <v>9.5139490000000002</v>
      </c>
      <c r="BE82" s="260">
        <v>9.5492729999999995</v>
      </c>
      <c r="BF82" s="260">
        <v>9.5845140000000004</v>
      </c>
      <c r="BG82" s="260">
        <v>9.619669</v>
      </c>
      <c r="BH82" s="260">
        <v>9.654738</v>
      </c>
      <c r="BI82" s="260">
        <v>9.6897190000000002</v>
      </c>
      <c r="BJ82" s="260">
        <v>9.7246129999999997</v>
      </c>
      <c r="BK82" s="260">
        <v>9.7594169999999991</v>
      </c>
      <c r="BL82" s="260">
        <v>9.7941299999999991</v>
      </c>
      <c r="BM82" s="260">
        <v>9.828752999999999</v>
      </c>
      <c r="BN82" s="260">
        <v>9.8632829999999991</v>
      </c>
      <c r="BO82" s="260">
        <v>9.8977190000000004</v>
      </c>
      <c r="BP82" s="260">
        <v>9.9320620000000002</v>
      </c>
      <c r="BQ82" s="260">
        <v>9.96631</v>
      </c>
      <c r="BR82" s="260">
        <v>10.000461999999999</v>
      </c>
      <c r="BS82" s="260">
        <v>10.034516999999999</v>
      </c>
      <c r="BT82" s="260">
        <v>10.068474</v>
      </c>
      <c r="BU82" s="260">
        <v>10.102333999999999</v>
      </c>
      <c r="BV82" s="260">
        <v>10.136092999999999</v>
      </c>
      <c r="BW82" s="260">
        <v>10.169753</v>
      </c>
      <c r="BX82" s="260">
        <v>10.203312</v>
      </c>
      <c r="BY82" s="260">
        <v>10.23677</v>
      </c>
      <c r="BZ82" s="260">
        <v>10.270125</v>
      </c>
      <c r="CA82" s="260">
        <v>10.303376999999999</v>
      </c>
      <c r="CB82" s="260">
        <v>10.336525</v>
      </c>
      <c r="CC82" s="260">
        <v>10.369569</v>
      </c>
      <c r="CD82" s="260">
        <v>10.402507999999999</v>
      </c>
      <c r="CE82" s="260">
        <v>10.435340999999999</v>
      </c>
      <c r="CF82" s="260">
        <v>10.468067</v>
      </c>
      <c r="CG82" s="260">
        <v>10.500686999999999</v>
      </c>
      <c r="CH82" s="260">
        <v>10.533199</v>
      </c>
    </row>
    <row r="83" spans="1:86" x14ac:dyDescent="0.25">
      <c r="A83" s="170">
        <v>1</v>
      </c>
      <c r="B83" s="170">
        <v>82</v>
      </c>
      <c r="C83" s="259">
        <v>6.9041900634765625</v>
      </c>
      <c r="D83" s="259">
        <v>6.9383068084716797</v>
      </c>
      <c r="E83" s="259">
        <v>6.9723529815673828</v>
      </c>
      <c r="F83" s="259">
        <v>7.0063271522521973</v>
      </c>
      <c r="G83" s="259">
        <v>7.0402278900146484</v>
      </c>
      <c r="H83" s="259">
        <v>7.0740551948547363</v>
      </c>
      <c r="I83" s="260">
        <v>7.3398620000000001</v>
      </c>
      <c r="J83" s="260">
        <v>7.3808849999999993</v>
      </c>
      <c r="K83" s="260">
        <v>7.4212910000000001</v>
      </c>
      <c r="L83" s="260">
        <v>7.4610939999999992</v>
      </c>
      <c r="M83" s="260">
        <v>7.5003169999999999</v>
      </c>
      <c r="N83" s="260">
        <v>7.5389969999999993</v>
      </c>
      <c r="O83" s="260">
        <v>7.5771839999999999</v>
      </c>
      <c r="P83" s="260">
        <v>7.6149369999999994</v>
      </c>
      <c r="Q83" s="260">
        <v>7.6523269999999997</v>
      </c>
      <c r="R83" s="260">
        <v>7.6894279999999995</v>
      </c>
      <c r="S83" s="260">
        <v>7.7263149999999996</v>
      </c>
      <c r="T83" s="260">
        <v>7.763058</v>
      </c>
      <c r="U83" s="260">
        <v>7.7997159999999992</v>
      </c>
      <c r="V83" s="260">
        <v>7.836328</v>
      </c>
      <c r="W83" s="260">
        <v>7.8729079999999998</v>
      </c>
      <c r="X83" s="260">
        <v>7.9094539999999993</v>
      </c>
      <c r="Y83" s="260">
        <v>7.945964</v>
      </c>
      <c r="Z83" s="260">
        <v>7.982437</v>
      </c>
      <c r="AA83" s="260">
        <v>8.018872</v>
      </c>
      <c r="AB83" s="260">
        <v>8.0552659999999996</v>
      </c>
      <c r="AC83" s="260">
        <v>8.0916189999999997</v>
      </c>
      <c r="AD83" s="260">
        <v>8.1279279999999989</v>
      </c>
      <c r="AE83" s="260">
        <v>8.1641929999999991</v>
      </c>
      <c r="AF83" s="260">
        <v>8.200410999999999</v>
      </c>
      <c r="AG83" s="260">
        <v>8.2365820000000003</v>
      </c>
      <c r="AH83" s="260">
        <v>8.2727029999999999</v>
      </c>
      <c r="AI83" s="260">
        <v>8.3087730000000004</v>
      </c>
      <c r="AJ83" s="260">
        <v>8.344792</v>
      </c>
      <c r="AK83" s="260">
        <v>8.3807559999999999</v>
      </c>
      <c r="AL83" s="260">
        <v>8.4166659999999993</v>
      </c>
      <c r="AM83" s="260">
        <v>8.4525189999999988</v>
      </c>
      <c r="AN83" s="260">
        <v>8.4883150000000001</v>
      </c>
      <c r="AO83" s="260">
        <v>8.524051</v>
      </c>
      <c r="AP83" s="260">
        <v>8.5597269999999988</v>
      </c>
      <c r="AQ83" s="260">
        <v>8.5953409999999995</v>
      </c>
      <c r="AR83" s="260">
        <v>8.6308919999999993</v>
      </c>
      <c r="AS83" s="260">
        <v>8.6663779999999999</v>
      </c>
      <c r="AT83" s="260">
        <v>8.7017989999999994</v>
      </c>
      <c r="AU83" s="260">
        <v>8.7371529999999993</v>
      </c>
      <c r="AV83" s="260">
        <v>8.7724379999999993</v>
      </c>
      <c r="AW83" s="260">
        <v>8.8076539999999994</v>
      </c>
      <c r="AX83" s="260">
        <v>8.8427989999999994</v>
      </c>
      <c r="AY83" s="260">
        <v>8.8778729999999992</v>
      </c>
      <c r="AZ83" s="260">
        <v>8.9128729999999994</v>
      </c>
      <c r="BA83" s="260">
        <v>8.9477989999999998</v>
      </c>
      <c r="BB83" s="260">
        <v>8.9826499999999996</v>
      </c>
      <c r="BC83" s="260">
        <v>9.0174240000000001</v>
      </c>
      <c r="BD83" s="260">
        <v>9.0521200000000004</v>
      </c>
      <c r="BE83" s="260">
        <v>9.0867380000000004</v>
      </c>
      <c r="BF83" s="260">
        <v>9.1212759999999999</v>
      </c>
      <c r="BG83" s="260">
        <v>9.1557329999999997</v>
      </c>
      <c r="BH83" s="260">
        <v>9.1901080000000004</v>
      </c>
      <c r="BI83" s="260">
        <v>9.2243999999999993</v>
      </c>
      <c r="BJ83" s="260">
        <v>9.2586089999999999</v>
      </c>
      <c r="BK83" s="260">
        <v>9.2927319999999991</v>
      </c>
      <c r="BL83" s="260">
        <v>9.3267689999999988</v>
      </c>
      <c r="BM83" s="260">
        <v>9.3607199999999988</v>
      </c>
      <c r="BN83" s="260">
        <v>9.3945819999999998</v>
      </c>
      <c r="BO83" s="260">
        <v>9.4283559999999991</v>
      </c>
      <c r="BP83" s="260">
        <v>9.4620409999999993</v>
      </c>
      <c r="BQ83" s="260">
        <v>9.495633999999999</v>
      </c>
      <c r="BR83" s="260">
        <v>9.5291370000000004</v>
      </c>
      <c r="BS83" s="260">
        <v>9.5625470000000004</v>
      </c>
      <c r="BT83" s="260">
        <v>9.5958639999999988</v>
      </c>
      <c r="BU83" s="260">
        <v>9.6290870000000002</v>
      </c>
      <c r="BV83" s="260">
        <v>9.6622149999999998</v>
      </c>
      <c r="BW83" s="260">
        <v>9.6952479999999994</v>
      </c>
      <c r="BX83" s="260">
        <v>9.7281839999999988</v>
      </c>
      <c r="BY83" s="260">
        <v>9.7610229999999998</v>
      </c>
      <c r="BZ83" s="260">
        <v>9.7937649999999987</v>
      </c>
      <c r="CA83" s="260">
        <v>9.8264079999999989</v>
      </c>
      <c r="CB83" s="260">
        <v>9.8589520000000004</v>
      </c>
      <c r="CC83" s="260">
        <v>9.8913960000000003</v>
      </c>
      <c r="CD83" s="260">
        <v>9.9237389999999994</v>
      </c>
      <c r="CE83" s="260">
        <v>9.9559809999999995</v>
      </c>
      <c r="CF83" s="260">
        <v>9.9881209999999996</v>
      </c>
      <c r="CG83" s="260">
        <v>10.020159</v>
      </c>
      <c r="CH83" s="260">
        <v>10.052092999999999</v>
      </c>
    </row>
    <row r="84" spans="1:86" x14ac:dyDescent="0.25">
      <c r="A84" s="170">
        <v>1</v>
      </c>
      <c r="B84" s="170">
        <v>83</v>
      </c>
      <c r="C84" s="259">
        <v>6.5172309875488281</v>
      </c>
      <c r="D84" s="259">
        <v>6.549109935760498</v>
      </c>
      <c r="E84" s="259">
        <v>6.5809288024902344</v>
      </c>
      <c r="F84" s="259">
        <v>6.6126880645751953</v>
      </c>
      <c r="G84" s="259">
        <v>6.6443848609924316</v>
      </c>
      <c r="H84" s="259">
        <v>6.6760191917419434</v>
      </c>
      <c r="I84" s="260">
        <v>6.9325709999999994</v>
      </c>
      <c r="J84" s="260">
        <v>6.9718029999999995</v>
      </c>
      <c r="K84" s="260">
        <v>7.0105589999999998</v>
      </c>
      <c r="L84" s="260">
        <v>7.0488419999999996</v>
      </c>
      <c r="M84" s="260">
        <v>7.086665</v>
      </c>
      <c r="N84" s="260">
        <v>7.1240519999999998</v>
      </c>
      <c r="O84" s="260">
        <v>7.1610359999999993</v>
      </c>
      <c r="P84" s="260">
        <v>7.1976599999999999</v>
      </c>
      <c r="Q84" s="260">
        <v>7.2339779999999996</v>
      </c>
      <c r="R84" s="260">
        <v>7.2700480000000001</v>
      </c>
      <c r="S84" s="260">
        <v>7.3059319999999994</v>
      </c>
      <c r="T84" s="260">
        <v>7.3416889999999997</v>
      </c>
      <c r="U84" s="260">
        <v>7.37737</v>
      </c>
      <c r="V84" s="260">
        <v>7.4130099999999999</v>
      </c>
      <c r="W84" s="260">
        <v>7.4486209999999993</v>
      </c>
      <c r="X84" s="260">
        <v>7.4842009999999997</v>
      </c>
      <c r="Y84" s="260">
        <v>7.519749</v>
      </c>
      <c r="Z84" s="260">
        <v>7.5552630000000001</v>
      </c>
      <c r="AA84" s="260">
        <v>7.5907409999999995</v>
      </c>
      <c r="AB84" s="260">
        <v>7.6261829999999993</v>
      </c>
      <c r="AC84" s="260">
        <v>7.6615869999999999</v>
      </c>
      <c r="AD84" s="260">
        <v>7.6969499999999993</v>
      </c>
      <c r="AE84" s="260">
        <v>7.732272</v>
      </c>
      <c r="AF84" s="260">
        <v>7.7675509999999992</v>
      </c>
      <c r="AG84" s="260">
        <v>7.8027859999999993</v>
      </c>
      <c r="AH84" s="260">
        <v>7.8379759999999994</v>
      </c>
      <c r="AI84" s="260">
        <v>7.8731179999999998</v>
      </c>
      <c r="AJ84" s="260">
        <v>7.9082109999999997</v>
      </c>
      <c r="AK84" s="260">
        <v>7.9432549999999997</v>
      </c>
      <c r="AL84" s="260">
        <v>7.9782479999999998</v>
      </c>
      <c r="AM84" s="260">
        <v>8.0131870000000003</v>
      </c>
      <c r="AN84" s="260">
        <v>8.0480730000000005</v>
      </c>
      <c r="AO84" s="260">
        <v>8.0829029999999999</v>
      </c>
      <c r="AP84" s="260">
        <v>8.1176770000000005</v>
      </c>
      <c r="AQ84" s="260">
        <v>8.152393</v>
      </c>
      <c r="AR84" s="260">
        <v>8.187049</v>
      </c>
      <c r="AS84" s="260">
        <v>8.2216449999999988</v>
      </c>
      <c r="AT84" s="260">
        <v>8.2561789999999995</v>
      </c>
      <c r="AU84" s="260">
        <v>8.2906499999999994</v>
      </c>
      <c r="AV84" s="260">
        <v>8.3250580000000003</v>
      </c>
      <c r="AW84" s="260">
        <v>8.3593989999999998</v>
      </c>
      <c r="AX84" s="260">
        <v>8.393673999999999</v>
      </c>
      <c r="AY84" s="260">
        <v>8.4278809999999993</v>
      </c>
      <c r="AZ84" s="260">
        <v>8.462019999999999</v>
      </c>
      <c r="BA84" s="260">
        <v>8.4960880000000003</v>
      </c>
      <c r="BB84" s="260">
        <v>8.5300849999999997</v>
      </c>
      <c r="BC84" s="260">
        <v>8.5640099999999997</v>
      </c>
      <c r="BD84" s="260">
        <v>8.597861</v>
      </c>
      <c r="BE84" s="260">
        <v>8.6316379999999988</v>
      </c>
      <c r="BF84" s="260">
        <v>8.6653400000000005</v>
      </c>
      <c r="BG84" s="260">
        <v>8.6989649999999994</v>
      </c>
      <c r="BH84" s="260">
        <v>8.7325119999999998</v>
      </c>
      <c r="BI84" s="260">
        <v>8.765981</v>
      </c>
      <c r="BJ84" s="260">
        <v>8.7993709999999989</v>
      </c>
      <c r="BK84" s="260">
        <v>8.8326799999999999</v>
      </c>
      <c r="BL84" s="260">
        <v>8.865907</v>
      </c>
      <c r="BM84" s="260">
        <v>8.8990519999999993</v>
      </c>
      <c r="BN84" s="260">
        <v>8.9321140000000003</v>
      </c>
      <c r="BO84" s="260">
        <v>8.9650920000000003</v>
      </c>
      <c r="BP84" s="260">
        <v>8.9979839999999989</v>
      </c>
      <c r="BQ84" s="260">
        <v>9.0307909999999989</v>
      </c>
      <c r="BR84" s="260">
        <v>9.0635110000000001</v>
      </c>
      <c r="BS84" s="260">
        <v>9.0961429999999996</v>
      </c>
      <c r="BT84" s="260">
        <v>9.1286860000000001</v>
      </c>
      <c r="BU84" s="260">
        <v>9.1611409999999989</v>
      </c>
      <c r="BV84" s="260">
        <v>9.193505</v>
      </c>
      <c r="BW84" s="260">
        <v>9.225778</v>
      </c>
      <c r="BX84" s="260">
        <v>9.2579599999999989</v>
      </c>
      <c r="BY84" s="260">
        <v>9.2900489999999998</v>
      </c>
      <c r="BZ84" s="260">
        <v>9.3220460000000003</v>
      </c>
      <c r="CA84" s="260">
        <v>9.353947999999999</v>
      </c>
      <c r="CB84" s="260">
        <v>9.3857569999999999</v>
      </c>
      <c r="CC84" s="260">
        <v>9.4174689999999988</v>
      </c>
      <c r="CD84" s="260">
        <v>9.4490870000000005</v>
      </c>
      <c r="CE84" s="260">
        <v>9.4806069999999991</v>
      </c>
      <c r="CF84" s="260">
        <v>9.5120310000000003</v>
      </c>
      <c r="CG84" s="260">
        <v>9.5433570000000003</v>
      </c>
      <c r="CH84" s="260">
        <v>9.5745839999999998</v>
      </c>
    </row>
    <row r="85" spans="1:86" x14ac:dyDescent="0.25">
      <c r="A85" s="170">
        <v>1</v>
      </c>
      <c r="B85" s="170">
        <v>84</v>
      </c>
      <c r="C85" s="259">
        <v>6.1393828392028809</v>
      </c>
      <c r="D85" s="259">
        <v>6.1687469482421875</v>
      </c>
      <c r="E85" s="259">
        <v>6.1980648040771484</v>
      </c>
      <c r="F85" s="259">
        <v>6.2273359298706055</v>
      </c>
      <c r="G85" s="259">
        <v>6.2565598487854004</v>
      </c>
      <c r="H85" s="259">
        <v>6.2857351303100586</v>
      </c>
      <c r="I85" s="260">
        <v>6.5398779999999999</v>
      </c>
      <c r="J85" s="260">
        <v>6.5771859999999993</v>
      </c>
      <c r="K85" s="260">
        <v>6.6141480000000001</v>
      </c>
      <c r="L85" s="260">
        <v>6.6507649999999998</v>
      </c>
      <c r="M85" s="260">
        <v>6.6870399999999997</v>
      </c>
      <c r="N85" s="260">
        <v>6.7229859999999997</v>
      </c>
      <c r="O85" s="260">
        <v>6.7586239999999993</v>
      </c>
      <c r="P85" s="260">
        <v>6.7939789999999993</v>
      </c>
      <c r="Q85" s="260">
        <v>6.8290869999999995</v>
      </c>
      <c r="R85" s="260">
        <v>6.8639929999999998</v>
      </c>
      <c r="S85" s="260">
        <v>6.8987439999999998</v>
      </c>
      <c r="T85" s="260">
        <v>6.9333859999999996</v>
      </c>
      <c r="U85" s="260">
        <v>6.9679609999999998</v>
      </c>
      <c r="V85" s="260">
        <v>7.0024999999999995</v>
      </c>
      <c r="W85" s="260">
        <v>7.0370119999999998</v>
      </c>
      <c r="X85" s="260">
        <v>7.0714959999999998</v>
      </c>
      <c r="Y85" s="260">
        <v>7.1059509999999992</v>
      </c>
      <c r="Z85" s="260">
        <v>7.1403739999999996</v>
      </c>
      <c r="AA85" s="260">
        <v>7.1747649999999998</v>
      </c>
      <c r="AB85" s="260">
        <v>7.2091219999999998</v>
      </c>
      <c r="AC85" s="260">
        <v>7.2434430000000001</v>
      </c>
      <c r="AD85" s="260">
        <v>7.2777269999999996</v>
      </c>
      <c r="AE85" s="260">
        <v>7.3119730000000001</v>
      </c>
      <c r="AF85" s="260">
        <v>7.3461789999999993</v>
      </c>
      <c r="AG85" s="260">
        <v>7.3803449999999993</v>
      </c>
      <c r="AH85" s="260">
        <v>7.4144669999999993</v>
      </c>
      <c r="AI85" s="260">
        <v>7.4485459999999994</v>
      </c>
      <c r="AJ85" s="260">
        <v>7.4825789999999994</v>
      </c>
      <c r="AK85" s="260">
        <v>7.5165660000000001</v>
      </c>
      <c r="AL85" s="260">
        <v>7.5505049999999994</v>
      </c>
      <c r="AM85" s="260">
        <v>7.5843939999999996</v>
      </c>
      <c r="AN85" s="260">
        <v>7.618233</v>
      </c>
      <c r="AO85" s="260">
        <v>7.6520209999999995</v>
      </c>
      <c r="AP85" s="260">
        <v>7.6857549999999994</v>
      </c>
      <c r="AQ85" s="260">
        <v>7.7194349999999998</v>
      </c>
      <c r="AR85" s="260">
        <v>7.7530589999999995</v>
      </c>
      <c r="AS85" s="260">
        <v>7.7866269999999993</v>
      </c>
      <c r="AT85" s="260">
        <v>7.8201359999999998</v>
      </c>
      <c r="AU85" s="260">
        <v>7.8535869999999992</v>
      </c>
      <c r="AV85" s="260">
        <v>7.8869769999999999</v>
      </c>
      <c r="AW85" s="260">
        <v>7.9203060000000001</v>
      </c>
      <c r="AX85" s="260">
        <v>7.9535719999999994</v>
      </c>
      <c r="AY85" s="260">
        <v>7.9867739999999996</v>
      </c>
      <c r="AZ85" s="260">
        <v>8.0199110000000005</v>
      </c>
      <c r="BA85" s="260">
        <v>8.0529829999999993</v>
      </c>
      <c r="BB85" s="260">
        <v>8.0859869999999994</v>
      </c>
      <c r="BC85" s="260">
        <v>8.1189239999999998</v>
      </c>
      <c r="BD85" s="260">
        <v>8.1517909999999993</v>
      </c>
      <c r="BE85" s="260">
        <v>8.1845879999999998</v>
      </c>
      <c r="BF85" s="260">
        <v>8.217314</v>
      </c>
      <c r="BG85" s="260">
        <v>8.2499669999999998</v>
      </c>
      <c r="BH85" s="260">
        <v>8.2825480000000002</v>
      </c>
      <c r="BI85" s="260">
        <v>8.3150549999999992</v>
      </c>
      <c r="BJ85" s="260">
        <v>8.347486</v>
      </c>
      <c r="BK85" s="260">
        <v>8.379840999999999</v>
      </c>
      <c r="BL85" s="260">
        <v>8.4121199999999998</v>
      </c>
      <c r="BM85" s="260">
        <v>8.4443210000000004</v>
      </c>
      <c r="BN85" s="260">
        <v>8.4764429999999997</v>
      </c>
      <c r="BO85" s="260">
        <v>8.5084850000000003</v>
      </c>
      <c r="BP85" s="260">
        <v>8.5404470000000003</v>
      </c>
      <c r="BQ85" s="260">
        <v>8.5723279999999988</v>
      </c>
      <c r="BR85" s="260">
        <v>8.6041270000000001</v>
      </c>
      <c r="BS85" s="260">
        <v>8.6358420000000002</v>
      </c>
      <c r="BT85" s="260">
        <v>8.6674740000000003</v>
      </c>
      <c r="BU85" s="260">
        <v>8.6990219999999994</v>
      </c>
      <c r="BV85" s="260">
        <v>8.7304849999999998</v>
      </c>
      <c r="BW85" s="260">
        <v>8.7618609999999997</v>
      </c>
      <c r="BX85" s="260">
        <v>8.7931509999999999</v>
      </c>
      <c r="BY85" s="260">
        <v>8.8243530000000003</v>
      </c>
      <c r="BZ85" s="260">
        <v>8.8554669999999991</v>
      </c>
      <c r="CA85" s="260">
        <v>8.8864929999999998</v>
      </c>
      <c r="CB85" s="260">
        <v>8.9174290000000003</v>
      </c>
      <c r="CC85" s="260">
        <v>8.9482739999999996</v>
      </c>
      <c r="CD85" s="260">
        <v>8.9790289999999988</v>
      </c>
      <c r="CE85" s="260">
        <v>9.0096930000000004</v>
      </c>
      <c r="CF85" s="260">
        <v>9.0402649999999998</v>
      </c>
      <c r="CG85" s="260">
        <v>9.0707439999999995</v>
      </c>
      <c r="CH85" s="260">
        <v>9.1011299999999995</v>
      </c>
    </row>
    <row r="86" spans="1:86" x14ac:dyDescent="0.25">
      <c r="A86" s="170">
        <v>1</v>
      </c>
      <c r="B86" s="170">
        <v>85</v>
      </c>
      <c r="C86" s="259">
        <v>5.7718758583068848</v>
      </c>
      <c r="D86" s="259">
        <v>5.7983889579772949</v>
      </c>
      <c r="E86" s="259">
        <v>5.8248758316040039</v>
      </c>
      <c r="F86" s="259">
        <v>5.8513331413269043</v>
      </c>
      <c r="G86" s="259">
        <v>5.8777618408203125</v>
      </c>
      <c r="H86" s="259">
        <v>5.9041609764099121</v>
      </c>
      <c r="I86" s="260">
        <v>6.1621619999999995</v>
      </c>
      <c r="J86" s="260">
        <v>6.1974320000000001</v>
      </c>
      <c r="K86" s="260">
        <v>6.2324799999999998</v>
      </c>
      <c r="L86" s="260">
        <v>6.2672989999999995</v>
      </c>
      <c r="M86" s="260">
        <v>6.3018899999999993</v>
      </c>
      <c r="N86" s="260">
        <v>6.3362549999999995</v>
      </c>
      <c r="O86" s="260">
        <v>6.3704029999999996</v>
      </c>
      <c r="P86" s="260">
        <v>6.4043479999999997</v>
      </c>
      <c r="Q86" s="260">
        <v>6.4381089999999999</v>
      </c>
      <c r="R86" s="260">
        <v>6.4717149999999997</v>
      </c>
      <c r="S86" s="260">
        <v>6.5051969999999999</v>
      </c>
      <c r="T86" s="260">
        <v>6.5385909999999994</v>
      </c>
      <c r="U86" s="260">
        <v>6.5719269999999996</v>
      </c>
      <c r="V86" s="260">
        <v>6.6052299999999997</v>
      </c>
      <c r="W86" s="260">
        <v>6.638509</v>
      </c>
      <c r="X86" s="260">
        <v>6.6717619999999993</v>
      </c>
      <c r="Y86" s="260">
        <v>6.7049879999999993</v>
      </c>
      <c r="Z86" s="260">
        <v>6.7381839999999995</v>
      </c>
      <c r="AA86" s="260">
        <v>6.7713510000000001</v>
      </c>
      <c r="AB86" s="260">
        <v>6.8044849999999997</v>
      </c>
      <c r="AC86" s="260">
        <v>6.8375870000000001</v>
      </c>
      <c r="AD86" s="260">
        <v>6.870654</v>
      </c>
      <c r="AE86" s="260">
        <v>6.9036849999999994</v>
      </c>
      <c r="AF86" s="260">
        <v>6.9366789999999998</v>
      </c>
      <c r="AG86" s="260">
        <v>6.9696349999999994</v>
      </c>
      <c r="AH86" s="260">
        <v>7.0025509999999995</v>
      </c>
      <c r="AI86" s="260">
        <v>7.0354259999999993</v>
      </c>
      <c r="AJ86" s="260">
        <v>7.0682589999999994</v>
      </c>
      <c r="AK86" s="260">
        <v>7.1010479999999996</v>
      </c>
      <c r="AL86" s="260">
        <v>7.1337919999999997</v>
      </c>
      <c r="AM86" s="260">
        <v>7.1664899999999996</v>
      </c>
      <c r="AN86" s="260">
        <v>7.199141</v>
      </c>
      <c r="AO86" s="260">
        <v>7.2317429999999998</v>
      </c>
      <c r="AP86" s="260">
        <v>7.2642949999999997</v>
      </c>
      <c r="AQ86" s="260">
        <v>7.2967969999999998</v>
      </c>
      <c r="AR86" s="260">
        <v>7.3292469999999996</v>
      </c>
      <c r="AS86" s="260">
        <v>7.3616429999999999</v>
      </c>
      <c r="AT86" s="260">
        <v>7.3939849999999998</v>
      </c>
      <c r="AU86" s="260">
        <v>7.4262709999999998</v>
      </c>
      <c r="AV86" s="260">
        <v>7.458501</v>
      </c>
      <c r="AW86" s="260">
        <v>7.4906739999999994</v>
      </c>
      <c r="AX86" s="260">
        <v>7.5227869999999992</v>
      </c>
      <c r="AY86" s="260">
        <v>7.5548409999999997</v>
      </c>
      <c r="AZ86" s="260">
        <v>7.5868329999999995</v>
      </c>
      <c r="BA86" s="260">
        <v>7.6187639999999996</v>
      </c>
      <c r="BB86" s="260">
        <v>7.6506319999999999</v>
      </c>
      <c r="BC86" s="260">
        <v>7.682436</v>
      </c>
      <c r="BD86" s="260">
        <v>7.714175</v>
      </c>
      <c r="BE86" s="260">
        <v>7.7458479999999996</v>
      </c>
      <c r="BF86" s="260">
        <v>7.7774539999999996</v>
      </c>
      <c r="BG86" s="260">
        <v>7.8089930000000001</v>
      </c>
      <c r="BH86" s="260">
        <v>7.8404629999999997</v>
      </c>
      <c r="BI86" s="260">
        <v>7.8718629999999994</v>
      </c>
      <c r="BJ86" s="260">
        <v>7.9031919999999998</v>
      </c>
      <c r="BK86" s="260">
        <v>7.93445</v>
      </c>
      <c r="BL86" s="260">
        <v>7.9656359999999999</v>
      </c>
      <c r="BM86" s="260">
        <v>7.9967489999999994</v>
      </c>
      <c r="BN86" s="260">
        <v>8.0277879999999993</v>
      </c>
      <c r="BO86" s="260">
        <v>8.0587520000000001</v>
      </c>
      <c r="BP86" s="260">
        <v>8.0896399999999993</v>
      </c>
      <c r="BQ86" s="260">
        <v>8.1204520000000002</v>
      </c>
      <c r="BR86" s="260">
        <v>8.1511870000000002</v>
      </c>
      <c r="BS86" s="260">
        <v>8.1818429999999989</v>
      </c>
      <c r="BT86" s="260">
        <v>8.2124209999999991</v>
      </c>
      <c r="BU86" s="260">
        <v>8.2429199999999998</v>
      </c>
      <c r="BV86" s="260">
        <v>8.273337999999999</v>
      </c>
      <c r="BW86" s="260">
        <v>8.3036759999999994</v>
      </c>
      <c r="BX86" s="260">
        <v>8.333931999999999</v>
      </c>
      <c r="BY86" s="260">
        <v>8.3641050000000003</v>
      </c>
      <c r="BZ86" s="260">
        <v>8.3941959999999991</v>
      </c>
      <c r="CA86" s="260">
        <v>8.4242030000000003</v>
      </c>
      <c r="CB86" s="260">
        <v>8.4541260000000005</v>
      </c>
      <c r="CC86" s="260">
        <v>8.4839640000000003</v>
      </c>
      <c r="CD86" s="260">
        <v>8.5137169999999998</v>
      </c>
      <c r="CE86" s="260">
        <v>8.5433839999999996</v>
      </c>
      <c r="CF86" s="260">
        <v>8.5729639999999989</v>
      </c>
      <c r="CG86" s="260">
        <v>8.6024569999999994</v>
      </c>
      <c r="CH86" s="260">
        <v>8.6318619999999999</v>
      </c>
    </row>
    <row r="87" spans="1:86" x14ac:dyDescent="0.25">
      <c r="A87" s="170">
        <v>1</v>
      </c>
      <c r="B87" s="170">
        <v>86</v>
      </c>
      <c r="C87" s="259">
        <v>5.4261808395385742</v>
      </c>
      <c r="D87" s="259">
        <v>5.4510488510131836</v>
      </c>
      <c r="E87" s="259">
        <v>5.4758901596069336</v>
      </c>
      <c r="F87" s="259">
        <v>5.5007038116455078</v>
      </c>
      <c r="G87" s="259">
        <v>5.5254888534545898</v>
      </c>
      <c r="H87" s="259">
        <v>5.5502457618713379</v>
      </c>
      <c r="I87" s="260">
        <v>5.7995799999999997</v>
      </c>
      <c r="J87" s="260">
        <v>5.8327209999999994</v>
      </c>
      <c r="K87" s="260">
        <v>5.865748</v>
      </c>
      <c r="L87" s="260">
        <v>5.8986529999999995</v>
      </c>
      <c r="M87" s="260">
        <v>5.9314309999999999</v>
      </c>
      <c r="N87" s="260">
        <v>5.9640789999999999</v>
      </c>
      <c r="O87" s="260">
        <v>5.9965969999999995</v>
      </c>
      <c r="P87" s="260">
        <v>6.028988</v>
      </c>
      <c r="Q87" s="260">
        <v>6.0612589999999997</v>
      </c>
      <c r="R87" s="260">
        <v>6.0934219999999994</v>
      </c>
      <c r="S87" s="260">
        <v>6.1254939999999998</v>
      </c>
      <c r="T87" s="260">
        <v>6.1574979999999995</v>
      </c>
      <c r="U87" s="260">
        <v>6.1894549999999997</v>
      </c>
      <c r="V87" s="260">
        <v>6.2213819999999993</v>
      </c>
      <c r="W87" s="260">
        <v>6.2532869999999994</v>
      </c>
      <c r="X87" s="260">
        <v>6.2851669999999995</v>
      </c>
      <c r="Y87" s="260">
        <v>6.3170209999999996</v>
      </c>
      <c r="Z87" s="260">
        <v>6.3488470000000001</v>
      </c>
      <c r="AA87" s="260">
        <v>6.3806459999999996</v>
      </c>
      <c r="AB87" s="260">
        <v>6.4124140000000001</v>
      </c>
      <c r="AC87" s="260">
        <v>6.4441519999999999</v>
      </c>
      <c r="AD87" s="260">
        <v>6.4758569999999995</v>
      </c>
      <c r="AE87" s="260">
        <v>6.5075279999999998</v>
      </c>
      <c r="AF87" s="260">
        <v>6.5391649999999997</v>
      </c>
      <c r="AG87" s="260">
        <v>6.5707659999999999</v>
      </c>
      <c r="AH87" s="260">
        <v>6.6023290000000001</v>
      </c>
      <c r="AI87" s="260">
        <v>6.6338539999999995</v>
      </c>
      <c r="AJ87" s="260">
        <v>6.6653389999999995</v>
      </c>
      <c r="AK87" s="260">
        <v>6.6967829999999999</v>
      </c>
      <c r="AL87" s="260">
        <v>6.728186</v>
      </c>
      <c r="AM87" s="260">
        <v>6.7595450000000001</v>
      </c>
      <c r="AN87" s="260">
        <v>6.7908589999999993</v>
      </c>
      <c r="AO87" s="260">
        <v>6.8221289999999994</v>
      </c>
      <c r="AP87" s="260">
        <v>6.853351</v>
      </c>
      <c r="AQ87" s="260">
        <v>6.8845259999999993</v>
      </c>
      <c r="AR87" s="260">
        <v>6.9156529999999998</v>
      </c>
      <c r="AS87" s="260">
        <v>6.9467289999999995</v>
      </c>
      <c r="AT87" s="260">
        <v>6.9777549999999993</v>
      </c>
      <c r="AU87" s="260">
        <v>7.0087289999999998</v>
      </c>
      <c r="AV87" s="260">
        <v>7.0396489999999998</v>
      </c>
      <c r="AW87" s="260">
        <v>7.0705159999999996</v>
      </c>
      <c r="AX87" s="260">
        <v>7.1013279999999996</v>
      </c>
      <c r="AY87" s="260">
        <v>7.1320839999999999</v>
      </c>
      <c r="AZ87" s="260">
        <v>7.1627829999999992</v>
      </c>
      <c r="BA87" s="260">
        <v>7.1934239999999994</v>
      </c>
      <c r="BB87" s="260">
        <v>7.2240059999999993</v>
      </c>
      <c r="BC87" s="260">
        <v>7.2545279999999996</v>
      </c>
      <c r="BD87" s="260">
        <v>7.2849899999999996</v>
      </c>
      <c r="BE87" s="260">
        <v>7.3153899999999998</v>
      </c>
      <c r="BF87" s="260">
        <v>7.3457279999999994</v>
      </c>
      <c r="BG87" s="260">
        <v>7.3760019999999997</v>
      </c>
      <c r="BH87" s="260">
        <v>7.406212</v>
      </c>
      <c r="BI87" s="260">
        <v>7.4363570000000001</v>
      </c>
      <c r="BJ87" s="260">
        <v>7.466437</v>
      </c>
      <c r="BK87" s="260">
        <v>7.4964489999999993</v>
      </c>
      <c r="BL87" s="260">
        <v>7.5263939999999998</v>
      </c>
      <c r="BM87" s="260">
        <v>7.5562699999999996</v>
      </c>
      <c r="BN87" s="260">
        <v>7.5860779999999997</v>
      </c>
      <c r="BO87" s="260">
        <v>7.6158149999999996</v>
      </c>
      <c r="BP87" s="260">
        <v>7.6454819999999994</v>
      </c>
      <c r="BQ87" s="260">
        <v>7.6750780000000001</v>
      </c>
      <c r="BR87" s="260">
        <v>7.7046009999999994</v>
      </c>
      <c r="BS87" s="260">
        <v>7.7340519999999993</v>
      </c>
      <c r="BT87" s="260">
        <v>7.7634289999999995</v>
      </c>
      <c r="BU87" s="260">
        <v>7.792732</v>
      </c>
      <c r="BV87" s="260">
        <v>7.8219599999999998</v>
      </c>
      <c r="BW87" s="260">
        <v>7.8511119999999996</v>
      </c>
      <c r="BX87" s="260">
        <v>7.8801889999999997</v>
      </c>
      <c r="BY87" s="260">
        <v>7.9091879999999994</v>
      </c>
      <c r="BZ87" s="260">
        <v>7.93811</v>
      </c>
      <c r="CA87" s="260">
        <v>7.9669539999999994</v>
      </c>
      <c r="CB87" s="260">
        <v>7.9957199999999995</v>
      </c>
      <c r="CC87" s="260">
        <v>8.024405999999999</v>
      </c>
      <c r="CD87" s="260">
        <v>8.053013</v>
      </c>
      <c r="CE87" s="260">
        <v>8.0815389999999994</v>
      </c>
      <c r="CF87" s="260">
        <v>8.109983999999999</v>
      </c>
      <c r="CG87" s="260">
        <v>8.1383479999999988</v>
      </c>
      <c r="CH87" s="260">
        <v>8.1666299999999996</v>
      </c>
    </row>
    <row r="88" spans="1:86" x14ac:dyDescent="0.25">
      <c r="A88" s="170">
        <v>1</v>
      </c>
      <c r="B88" s="170">
        <v>87</v>
      </c>
      <c r="C88" s="259">
        <v>5.0932869911193848</v>
      </c>
      <c r="D88" s="259">
        <v>5.1163101196289063</v>
      </c>
      <c r="E88" s="259">
        <v>5.139307975769043</v>
      </c>
      <c r="F88" s="259">
        <v>5.1622800827026367</v>
      </c>
      <c r="G88" s="259">
        <v>5.1852250099182129</v>
      </c>
      <c r="H88" s="259">
        <v>5.2081432342529297</v>
      </c>
      <c r="I88" s="260">
        <v>5.4521609999999994</v>
      </c>
      <c r="J88" s="260">
        <v>5.4830969999999999</v>
      </c>
      <c r="K88" s="260">
        <v>5.514011</v>
      </c>
      <c r="L88" s="260">
        <v>5.5448939999999993</v>
      </c>
      <c r="M88" s="260">
        <v>5.5757379999999994</v>
      </c>
      <c r="N88" s="260">
        <v>5.6065360000000002</v>
      </c>
      <c r="O88" s="260">
        <v>5.6372819999999999</v>
      </c>
      <c r="P88" s="260">
        <v>5.6679689999999994</v>
      </c>
      <c r="Q88" s="260">
        <v>5.6985969999999995</v>
      </c>
      <c r="R88" s="260">
        <v>5.7291650000000001</v>
      </c>
      <c r="S88" s="260">
        <v>5.7596759999999998</v>
      </c>
      <c r="T88" s="260">
        <v>5.7901389999999999</v>
      </c>
      <c r="U88" s="260">
        <v>5.8205649999999993</v>
      </c>
      <c r="V88" s="260">
        <v>5.8509639999999994</v>
      </c>
      <c r="W88" s="260">
        <v>5.8813420000000001</v>
      </c>
      <c r="X88" s="260">
        <v>5.9116969999999993</v>
      </c>
      <c r="Y88" s="260">
        <v>5.9420259999999994</v>
      </c>
      <c r="Z88" s="260">
        <v>5.9723299999999995</v>
      </c>
      <c r="AA88" s="260">
        <v>6.0026069999999994</v>
      </c>
      <c r="AB88" s="260">
        <v>6.0328559999999998</v>
      </c>
      <c r="AC88" s="260">
        <v>6.0630749999999995</v>
      </c>
      <c r="AD88" s="260">
        <v>6.0932639999999996</v>
      </c>
      <c r="AE88" s="260">
        <v>6.1234209999999996</v>
      </c>
      <c r="AF88" s="260">
        <v>6.1535459999999995</v>
      </c>
      <c r="AG88" s="260">
        <v>6.1836359999999999</v>
      </c>
      <c r="AH88" s="260">
        <v>6.213692</v>
      </c>
      <c r="AI88" s="260">
        <v>6.2437109999999993</v>
      </c>
      <c r="AJ88" s="260">
        <v>6.2736929999999997</v>
      </c>
      <c r="AK88" s="260">
        <v>6.3036370000000002</v>
      </c>
      <c r="AL88" s="260">
        <v>6.3335419999999996</v>
      </c>
      <c r="AM88" s="260">
        <v>6.3634059999999995</v>
      </c>
      <c r="AN88" s="260">
        <v>6.3932279999999997</v>
      </c>
      <c r="AO88" s="260">
        <v>6.4230079999999994</v>
      </c>
      <c r="AP88" s="260">
        <v>6.4527449999999993</v>
      </c>
      <c r="AQ88" s="260">
        <v>6.4824380000000001</v>
      </c>
      <c r="AR88" s="260">
        <v>6.5120839999999998</v>
      </c>
      <c r="AS88" s="260">
        <v>6.5416849999999993</v>
      </c>
      <c r="AT88" s="260">
        <v>6.5712380000000001</v>
      </c>
      <c r="AU88" s="260">
        <v>6.6007419999999994</v>
      </c>
      <c r="AV88" s="260">
        <v>6.630198</v>
      </c>
      <c r="AW88" s="260">
        <v>6.6596029999999997</v>
      </c>
      <c r="AX88" s="260">
        <v>6.6889569999999994</v>
      </c>
      <c r="AY88" s="260">
        <v>6.7182589999999998</v>
      </c>
      <c r="AZ88" s="260">
        <v>6.747509</v>
      </c>
      <c r="BA88" s="260">
        <v>6.7767039999999996</v>
      </c>
      <c r="BB88" s="260">
        <v>6.8058449999999997</v>
      </c>
      <c r="BC88" s="260">
        <v>6.8349299999999999</v>
      </c>
      <c r="BD88" s="260">
        <v>6.8639589999999995</v>
      </c>
      <c r="BE88" s="260">
        <v>6.8929309999999999</v>
      </c>
      <c r="BF88" s="260">
        <v>6.9218449999999994</v>
      </c>
      <c r="BG88" s="260">
        <v>6.9506999999999994</v>
      </c>
      <c r="BH88" s="260">
        <v>6.9794959999999993</v>
      </c>
      <c r="BI88" s="260">
        <v>7.0082319999999996</v>
      </c>
      <c r="BJ88" s="260">
        <v>7.0369060000000001</v>
      </c>
      <c r="BK88" s="260">
        <v>7.0655190000000001</v>
      </c>
      <c r="BL88" s="260">
        <v>7.0940689999999993</v>
      </c>
      <c r="BM88" s="260">
        <v>7.1225549999999993</v>
      </c>
      <c r="BN88" s="260">
        <v>7.1509779999999994</v>
      </c>
      <c r="BO88" s="260">
        <v>7.1793359999999993</v>
      </c>
      <c r="BP88" s="260">
        <v>7.2076289999999998</v>
      </c>
      <c r="BQ88" s="260">
        <v>7.2358560000000001</v>
      </c>
      <c r="BR88" s="260">
        <v>7.2640159999999998</v>
      </c>
      <c r="BS88" s="260">
        <v>7.292109</v>
      </c>
      <c r="BT88" s="260">
        <v>7.3201339999999995</v>
      </c>
      <c r="BU88" s="260">
        <v>7.34809</v>
      </c>
      <c r="BV88" s="260">
        <v>7.3759769999999998</v>
      </c>
      <c r="BW88" s="260">
        <v>7.4037939999999995</v>
      </c>
      <c r="BX88" s="260">
        <v>7.4315409999999993</v>
      </c>
      <c r="BY88" s="260">
        <v>7.4592169999999998</v>
      </c>
      <c r="BZ88" s="260">
        <v>7.4868209999999999</v>
      </c>
      <c r="CA88" s="260">
        <v>7.5143529999999998</v>
      </c>
      <c r="CB88" s="260">
        <v>7.5418129999999994</v>
      </c>
      <c r="CC88" s="260">
        <v>7.5691989999999993</v>
      </c>
      <c r="CD88" s="260">
        <v>7.5965119999999997</v>
      </c>
      <c r="CE88" s="260">
        <v>7.6237499999999994</v>
      </c>
      <c r="CF88" s="260">
        <v>7.6509139999999993</v>
      </c>
      <c r="CG88" s="260">
        <v>7.6780019999999993</v>
      </c>
      <c r="CH88" s="260">
        <v>7.7050149999999995</v>
      </c>
    </row>
    <row r="89" spans="1:86" x14ac:dyDescent="0.25">
      <c r="A89" s="170">
        <v>1</v>
      </c>
      <c r="B89" s="170">
        <v>88</v>
      </c>
      <c r="C89" s="259">
        <v>4.774043083190918</v>
      </c>
      <c r="D89" s="259">
        <v>4.7949728965759277</v>
      </c>
      <c r="E89" s="259">
        <v>4.8158807754516602</v>
      </c>
      <c r="F89" s="259">
        <v>4.8367648124694824</v>
      </c>
      <c r="G89" s="259">
        <v>4.8576259613037109</v>
      </c>
      <c r="H89" s="259">
        <v>4.8784627914428711</v>
      </c>
      <c r="I89" s="260">
        <v>5.1198600000000001</v>
      </c>
      <c r="J89" s="260">
        <v>5.1485289999999999</v>
      </c>
      <c r="K89" s="260">
        <v>5.1772459999999993</v>
      </c>
      <c r="L89" s="260">
        <v>5.2060059999999995</v>
      </c>
      <c r="M89" s="260">
        <v>5.2347979999999996</v>
      </c>
      <c r="N89" s="260">
        <v>5.2636129999999994</v>
      </c>
      <c r="O89" s="260">
        <v>5.29244</v>
      </c>
      <c r="P89" s="260">
        <v>5.3212700000000002</v>
      </c>
      <c r="Q89" s="260">
        <v>5.3500909999999999</v>
      </c>
      <c r="R89" s="260">
        <v>5.378895</v>
      </c>
      <c r="S89" s="260">
        <v>5.4076759999999995</v>
      </c>
      <c r="T89" s="260">
        <v>5.4364289999999995</v>
      </c>
      <c r="U89" s="260">
        <v>5.4651559999999995</v>
      </c>
      <c r="V89" s="260">
        <v>5.4938609999999999</v>
      </c>
      <c r="W89" s="260">
        <v>5.5225439999999999</v>
      </c>
      <c r="X89" s="260">
        <v>5.5512039999999994</v>
      </c>
      <c r="Y89" s="260">
        <v>5.5798410000000001</v>
      </c>
      <c r="Z89" s="260">
        <v>5.6084540000000001</v>
      </c>
      <c r="AA89" s="260">
        <v>5.637041</v>
      </c>
      <c r="AB89" s="260">
        <v>5.6656009999999997</v>
      </c>
      <c r="AC89" s="260">
        <v>5.694134</v>
      </c>
      <c r="AD89" s="260">
        <v>5.7226379999999999</v>
      </c>
      <c r="AE89" s="260">
        <v>5.751112</v>
      </c>
      <c r="AF89" s="260">
        <v>5.7795559999999995</v>
      </c>
      <c r="AG89" s="260">
        <v>5.8079669999999997</v>
      </c>
      <c r="AH89" s="260">
        <v>5.8363459999999998</v>
      </c>
      <c r="AI89" s="260">
        <v>5.8646919999999998</v>
      </c>
      <c r="AJ89" s="260">
        <v>5.8930020000000001</v>
      </c>
      <c r="AK89" s="260">
        <v>5.9212769999999999</v>
      </c>
      <c r="AL89" s="260">
        <v>5.949516</v>
      </c>
      <c r="AM89" s="260">
        <v>5.9777170000000002</v>
      </c>
      <c r="AN89" s="260">
        <v>6.0058789999999993</v>
      </c>
      <c r="AO89" s="260">
        <v>6.0340029999999993</v>
      </c>
      <c r="AP89" s="260">
        <v>6.0620859999999999</v>
      </c>
      <c r="AQ89" s="260">
        <v>6.090128</v>
      </c>
      <c r="AR89" s="260">
        <v>6.1181279999999996</v>
      </c>
      <c r="AS89" s="260">
        <v>6.1460859999999995</v>
      </c>
      <c r="AT89" s="260">
        <v>6.1739989999999993</v>
      </c>
      <c r="AU89" s="260">
        <v>6.2018680000000002</v>
      </c>
      <c r="AV89" s="260">
        <v>6.229692</v>
      </c>
      <c r="AW89" s="260">
        <v>6.2574699999999996</v>
      </c>
      <c r="AX89" s="260">
        <v>6.2851999999999997</v>
      </c>
      <c r="AY89" s="260">
        <v>6.3128829999999994</v>
      </c>
      <c r="AZ89" s="260">
        <v>6.3405179999999994</v>
      </c>
      <c r="BA89" s="260">
        <v>6.3681029999999996</v>
      </c>
      <c r="BB89" s="260">
        <v>6.3956379999999999</v>
      </c>
      <c r="BC89" s="260">
        <v>6.4231219999999993</v>
      </c>
      <c r="BD89" s="260">
        <v>6.4505549999999996</v>
      </c>
      <c r="BE89" s="260">
        <v>6.4779349999999996</v>
      </c>
      <c r="BF89" s="260">
        <v>6.5052620000000001</v>
      </c>
      <c r="BG89" s="260">
        <v>6.5325359999999995</v>
      </c>
      <c r="BH89" s="260">
        <v>6.559755</v>
      </c>
      <c r="BI89" s="260">
        <v>6.586919</v>
      </c>
      <c r="BJ89" s="260">
        <v>6.6140270000000001</v>
      </c>
      <c r="BK89" s="260">
        <v>6.6410789999999995</v>
      </c>
      <c r="BL89" s="260">
        <v>6.6680729999999997</v>
      </c>
      <c r="BM89" s="260">
        <v>6.6950099999999999</v>
      </c>
      <c r="BN89" s="260">
        <v>6.721889</v>
      </c>
      <c r="BO89" s="260">
        <v>6.7487079999999997</v>
      </c>
      <c r="BP89" s="260">
        <v>6.775468</v>
      </c>
      <c r="BQ89" s="260">
        <v>6.802168</v>
      </c>
      <c r="BR89" s="260">
        <v>6.8288069999999994</v>
      </c>
      <c r="BS89" s="260">
        <v>6.8553839999999999</v>
      </c>
      <c r="BT89" s="260">
        <v>6.8818999999999999</v>
      </c>
      <c r="BU89" s="260">
        <v>6.908353</v>
      </c>
      <c r="BV89" s="260">
        <v>6.9347430000000001</v>
      </c>
      <c r="BW89" s="260">
        <v>6.9610699999999994</v>
      </c>
      <c r="BX89" s="260">
        <v>6.9873319999999994</v>
      </c>
      <c r="BY89" s="260">
        <v>7.0135299999999994</v>
      </c>
      <c r="BZ89" s="260">
        <v>7.0396619999999999</v>
      </c>
      <c r="CA89" s="260">
        <v>7.0657289999999993</v>
      </c>
      <c r="CB89" s="260">
        <v>7.0917300000000001</v>
      </c>
      <c r="CC89" s="260">
        <v>7.1176639999999995</v>
      </c>
      <c r="CD89" s="260">
        <v>7.1435319999999995</v>
      </c>
      <c r="CE89" s="260">
        <v>7.1693309999999997</v>
      </c>
      <c r="CF89" s="260">
        <v>7.1950629999999993</v>
      </c>
      <c r="CG89" s="260">
        <v>7.220726</v>
      </c>
      <c r="CH89" s="260">
        <v>7.246321</v>
      </c>
    </row>
    <row r="90" spans="1:86" x14ac:dyDescent="0.25">
      <c r="A90" s="170">
        <v>1</v>
      </c>
      <c r="B90" s="170">
        <v>89</v>
      </c>
      <c r="C90" s="259">
        <v>4.4689970016479492</v>
      </c>
      <c r="D90" s="259">
        <v>4.487515926361084</v>
      </c>
      <c r="E90" s="259">
        <v>4.5060181617736816</v>
      </c>
      <c r="F90" s="259">
        <v>4.524503231048584</v>
      </c>
      <c r="G90" s="259">
        <v>4.5429701805114746</v>
      </c>
      <c r="H90" s="259">
        <v>4.5614190101623535</v>
      </c>
      <c r="I90" s="260">
        <v>4.8025979999999997</v>
      </c>
      <c r="J90" s="260">
        <v>4.8289469999999994</v>
      </c>
      <c r="K90" s="260">
        <v>4.8553939999999995</v>
      </c>
      <c r="L90" s="260">
        <v>4.8819319999999999</v>
      </c>
      <c r="M90" s="260">
        <v>4.9085549999999998</v>
      </c>
      <c r="N90" s="260">
        <v>4.9352510000000001</v>
      </c>
      <c r="O90" s="260">
        <v>4.9620069999999998</v>
      </c>
      <c r="P90" s="260">
        <v>4.9888089999999998</v>
      </c>
      <c r="Q90" s="260">
        <v>5.015644</v>
      </c>
      <c r="R90" s="260">
        <v>5.0424959999999999</v>
      </c>
      <c r="S90" s="260">
        <v>5.0693529999999996</v>
      </c>
      <c r="T90" s="260">
        <v>5.096203</v>
      </c>
      <c r="U90" s="260">
        <v>5.1230380000000002</v>
      </c>
      <c r="V90" s="260">
        <v>5.1498539999999995</v>
      </c>
      <c r="W90" s="260">
        <v>5.1766499999999995</v>
      </c>
      <c r="X90" s="260">
        <v>5.203424</v>
      </c>
      <c r="Y90" s="260">
        <v>5.2301769999999994</v>
      </c>
      <c r="Z90" s="260">
        <v>5.256907</v>
      </c>
      <c r="AA90" s="260">
        <v>5.2836129999999999</v>
      </c>
      <c r="AB90" s="260">
        <v>5.3102939999999998</v>
      </c>
      <c r="AC90" s="260">
        <v>5.3369499999999999</v>
      </c>
      <c r="AD90" s="260">
        <v>5.3635789999999997</v>
      </c>
      <c r="AE90" s="260">
        <v>5.3901810000000001</v>
      </c>
      <c r="AF90" s="260">
        <v>5.4167540000000001</v>
      </c>
      <c r="AG90" s="260">
        <v>5.4432989999999997</v>
      </c>
      <c r="AH90" s="260">
        <v>5.4698129999999994</v>
      </c>
      <c r="AI90" s="260">
        <v>5.4962969999999993</v>
      </c>
      <c r="AJ90" s="260">
        <v>5.5227490000000001</v>
      </c>
      <c r="AK90" s="260">
        <v>5.549169</v>
      </c>
      <c r="AL90" s="260">
        <v>5.5755549999999996</v>
      </c>
      <c r="AM90" s="260">
        <v>5.6019079999999999</v>
      </c>
      <c r="AN90" s="260">
        <v>5.6282259999999997</v>
      </c>
      <c r="AO90" s="260">
        <v>5.6545079999999999</v>
      </c>
      <c r="AP90" s="260">
        <v>5.6807539999999994</v>
      </c>
      <c r="AQ90" s="260">
        <v>5.7069619999999999</v>
      </c>
      <c r="AR90" s="260">
        <v>5.7331329999999996</v>
      </c>
      <c r="AS90" s="260">
        <v>5.7592650000000001</v>
      </c>
      <c r="AT90" s="260">
        <v>5.7853579999999996</v>
      </c>
      <c r="AU90" s="260">
        <v>5.8114109999999997</v>
      </c>
      <c r="AV90" s="260">
        <v>5.8374229999999994</v>
      </c>
      <c r="AW90" s="260">
        <v>5.8633939999999996</v>
      </c>
      <c r="AX90" s="260">
        <v>5.8893219999999999</v>
      </c>
      <c r="AY90" s="260">
        <v>5.9152069999999997</v>
      </c>
      <c r="AZ90" s="260">
        <v>5.9410489999999996</v>
      </c>
      <c r="BA90" s="260">
        <v>5.9668469999999996</v>
      </c>
      <c r="BB90" s="260">
        <v>5.9925999999999995</v>
      </c>
      <c r="BC90" s="260">
        <v>6.0183070000000001</v>
      </c>
      <c r="BD90" s="260">
        <v>6.0439679999999996</v>
      </c>
      <c r="BE90" s="260">
        <v>6.0695819999999996</v>
      </c>
      <c r="BF90" s="260">
        <v>6.0951490000000002</v>
      </c>
      <c r="BG90" s="260">
        <v>6.1206679999999993</v>
      </c>
      <c r="BH90" s="260">
        <v>6.1461379999999997</v>
      </c>
      <c r="BI90" s="260">
        <v>6.1715589999999994</v>
      </c>
      <c r="BJ90" s="260">
        <v>6.19693</v>
      </c>
      <c r="BK90" s="260">
        <v>6.222251</v>
      </c>
      <c r="BL90" s="260">
        <v>6.2475209999999999</v>
      </c>
      <c r="BM90" s="260">
        <v>6.2727389999999996</v>
      </c>
      <c r="BN90" s="260">
        <v>6.2979050000000001</v>
      </c>
      <c r="BO90" s="260">
        <v>6.3230189999999995</v>
      </c>
      <c r="BP90" s="260">
        <v>6.3480789999999994</v>
      </c>
      <c r="BQ90" s="260">
        <v>6.3730859999999998</v>
      </c>
      <c r="BR90" s="260">
        <v>6.3980389999999998</v>
      </c>
      <c r="BS90" s="260">
        <v>6.4229370000000001</v>
      </c>
      <c r="BT90" s="260">
        <v>6.4477789999999997</v>
      </c>
      <c r="BU90" s="260">
        <v>6.4725659999999996</v>
      </c>
      <c r="BV90" s="260">
        <v>6.4972969999999997</v>
      </c>
      <c r="BW90" s="260">
        <v>6.5219719999999999</v>
      </c>
      <c r="BX90" s="260">
        <v>6.546589</v>
      </c>
      <c r="BY90" s="260">
        <v>6.5711490000000001</v>
      </c>
      <c r="BZ90" s="260">
        <v>6.59565</v>
      </c>
      <c r="CA90" s="260">
        <v>6.6200939999999999</v>
      </c>
      <c r="CB90" s="260">
        <v>6.6444779999999994</v>
      </c>
      <c r="CC90" s="260">
        <v>6.6688039999999997</v>
      </c>
      <c r="CD90" s="260">
        <v>6.6930689999999995</v>
      </c>
      <c r="CE90" s="260">
        <v>6.7172749999999999</v>
      </c>
      <c r="CF90" s="260">
        <v>6.7414199999999997</v>
      </c>
      <c r="CG90" s="260">
        <v>6.765504</v>
      </c>
      <c r="CH90" s="260">
        <v>6.7895269999999996</v>
      </c>
    </row>
    <row r="91" spans="1:86" x14ac:dyDescent="0.25">
      <c r="A91" s="170">
        <v>1</v>
      </c>
      <c r="B91" s="170">
        <v>90</v>
      </c>
      <c r="C91" s="259">
        <v>4.1783499717712402</v>
      </c>
      <c r="D91" s="259">
        <v>4.194037914276123</v>
      </c>
      <c r="E91" s="259">
        <v>4.2097201347351074</v>
      </c>
      <c r="F91" s="259">
        <v>4.225398063659668</v>
      </c>
      <c r="G91" s="259">
        <v>4.2410688400268555</v>
      </c>
      <c r="H91" s="259">
        <v>4.2567338943481445</v>
      </c>
      <c r="I91" s="260">
        <v>4.5002699999999995</v>
      </c>
      <c r="J91" s="260">
        <v>4.5242579999999997</v>
      </c>
      <c r="K91" s="260">
        <v>4.548368</v>
      </c>
      <c r="L91" s="260">
        <v>4.5725929999999995</v>
      </c>
      <c r="M91" s="260">
        <v>4.5969280000000001</v>
      </c>
      <c r="N91" s="260">
        <v>4.6213609999999994</v>
      </c>
      <c r="O91" s="260">
        <v>4.6458810000000001</v>
      </c>
      <c r="P91" s="260">
        <v>4.6704720000000002</v>
      </c>
      <c r="Q91" s="260">
        <v>4.6951179999999999</v>
      </c>
      <c r="R91" s="260">
        <v>4.7198039999999999</v>
      </c>
      <c r="S91" s="260">
        <v>4.7445119999999994</v>
      </c>
      <c r="T91" s="260">
        <v>4.7692290000000002</v>
      </c>
      <c r="U91" s="260">
        <v>4.7939400000000001</v>
      </c>
      <c r="V91" s="260">
        <v>4.818638</v>
      </c>
      <c r="W91" s="260">
        <v>4.8433169999999999</v>
      </c>
      <c r="X91" s="260">
        <v>4.8679779999999999</v>
      </c>
      <c r="Y91" s="260">
        <v>4.89262</v>
      </c>
      <c r="Z91" s="260">
        <v>4.9172419999999999</v>
      </c>
      <c r="AA91" s="260">
        <v>4.9418419999999994</v>
      </c>
      <c r="AB91" s="260">
        <v>4.9664219999999997</v>
      </c>
      <c r="AC91" s="260">
        <v>4.9909780000000001</v>
      </c>
      <c r="AD91" s="260">
        <v>5.0155120000000002</v>
      </c>
      <c r="AE91" s="260">
        <v>5.0400219999999996</v>
      </c>
      <c r="AF91" s="260">
        <v>5.0645069999999999</v>
      </c>
      <c r="AG91" s="260">
        <v>5.0889669999999994</v>
      </c>
      <c r="AH91" s="260">
        <v>5.1134019999999998</v>
      </c>
      <c r="AI91" s="260">
        <v>5.1378089999999998</v>
      </c>
      <c r="AJ91" s="260">
        <v>5.1621889999999997</v>
      </c>
      <c r="AK91" s="260">
        <v>5.1865410000000001</v>
      </c>
      <c r="AL91" s="260">
        <v>5.2108650000000001</v>
      </c>
      <c r="AM91" s="260">
        <v>5.2351589999999995</v>
      </c>
      <c r="AN91" s="260">
        <v>5.259423</v>
      </c>
      <c r="AO91" s="260">
        <v>5.2836559999999997</v>
      </c>
      <c r="AP91" s="260">
        <v>5.3078579999999995</v>
      </c>
      <c r="AQ91" s="260">
        <v>5.3320279999999993</v>
      </c>
      <c r="AR91" s="260">
        <v>5.356166</v>
      </c>
      <c r="AS91" s="260">
        <v>5.3802699999999994</v>
      </c>
      <c r="AT91" s="260">
        <v>5.4043399999999995</v>
      </c>
      <c r="AU91" s="260">
        <v>5.4283760000000001</v>
      </c>
      <c r="AV91" s="260">
        <v>5.4523769999999994</v>
      </c>
      <c r="AW91" s="260">
        <v>5.4763419999999998</v>
      </c>
      <c r="AX91" s="260">
        <v>5.5002709999999997</v>
      </c>
      <c r="AY91" s="260">
        <v>5.5241629999999997</v>
      </c>
      <c r="AZ91" s="260">
        <v>5.5480179999999999</v>
      </c>
      <c r="BA91" s="260">
        <v>5.5718350000000001</v>
      </c>
      <c r="BB91" s="260">
        <v>5.5956130000000002</v>
      </c>
      <c r="BC91" s="260">
        <v>5.6193520000000001</v>
      </c>
      <c r="BD91" s="260">
        <v>5.643052</v>
      </c>
      <c r="BE91" s="260">
        <v>5.6667109999999994</v>
      </c>
      <c r="BF91" s="260">
        <v>5.6903299999999994</v>
      </c>
      <c r="BG91" s="260">
        <v>5.713908</v>
      </c>
      <c r="BH91" s="260">
        <v>5.737444</v>
      </c>
      <c r="BI91" s="260">
        <v>5.7609369999999993</v>
      </c>
      <c r="BJ91" s="260">
        <v>5.7843879999999999</v>
      </c>
      <c r="BK91" s="260">
        <v>5.8077959999999997</v>
      </c>
      <c r="BL91" s="260">
        <v>5.8311599999999997</v>
      </c>
      <c r="BM91" s="260">
        <v>5.8544799999999997</v>
      </c>
      <c r="BN91" s="260">
        <v>5.8777549999999996</v>
      </c>
      <c r="BO91" s="260">
        <v>5.9009849999999995</v>
      </c>
      <c r="BP91" s="260">
        <v>5.9241700000000002</v>
      </c>
      <c r="BQ91" s="260">
        <v>5.9473079999999996</v>
      </c>
      <c r="BR91" s="260">
        <v>5.9703999999999997</v>
      </c>
      <c r="BS91" s="260">
        <v>5.9934459999999996</v>
      </c>
      <c r="BT91" s="260">
        <v>6.0164439999999999</v>
      </c>
      <c r="BU91" s="260">
        <v>6.0393939999999997</v>
      </c>
      <c r="BV91" s="260">
        <v>6.0622959999999999</v>
      </c>
      <c r="BW91" s="260">
        <v>6.0851489999999995</v>
      </c>
      <c r="BX91" s="260">
        <v>6.1079539999999994</v>
      </c>
      <c r="BY91" s="260">
        <v>6.1307089999999995</v>
      </c>
      <c r="BZ91" s="260">
        <v>6.1534139999999997</v>
      </c>
      <c r="CA91" s="260">
        <v>6.1760699999999993</v>
      </c>
      <c r="CB91" s="260">
        <v>6.1986749999999997</v>
      </c>
      <c r="CC91" s="260">
        <v>6.2212290000000001</v>
      </c>
      <c r="CD91" s="260">
        <v>6.2437319999999996</v>
      </c>
      <c r="CE91" s="260">
        <v>6.2661829999999998</v>
      </c>
      <c r="CF91" s="260">
        <v>6.2885819999999999</v>
      </c>
      <c r="CG91" s="260">
        <v>6.3109289999999998</v>
      </c>
      <c r="CH91" s="260">
        <v>6.3332239999999995</v>
      </c>
    </row>
    <row r="92" spans="1:86" x14ac:dyDescent="0.25">
      <c r="A92" s="170">
        <v>1</v>
      </c>
      <c r="B92" s="170">
        <v>91</v>
      </c>
      <c r="C92" s="259">
        <v>3.9153599739074707</v>
      </c>
      <c r="D92" s="259">
        <v>3.9298009872436523</v>
      </c>
      <c r="E92" s="259">
        <v>3.9442338943481445</v>
      </c>
      <c r="F92" s="259">
        <v>3.95865797996521</v>
      </c>
      <c r="G92" s="259">
        <v>3.9730730056762695</v>
      </c>
      <c r="H92" s="259">
        <v>3.9874789714813232</v>
      </c>
      <c r="I92" s="260">
        <v>4.2127330000000001</v>
      </c>
      <c r="J92" s="260">
        <v>4.2343339999999996</v>
      </c>
      <c r="K92" s="260">
        <v>4.2560479999999998</v>
      </c>
      <c r="L92" s="260">
        <v>4.2778719999999995</v>
      </c>
      <c r="M92" s="260">
        <v>4.2997969999999999</v>
      </c>
      <c r="N92" s="260">
        <v>4.3218160000000001</v>
      </c>
      <c r="O92" s="260">
        <v>4.3439189999999996</v>
      </c>
      <c r="P92" s="260">
        <v>4.3660909999999999</v>
      </c>
      <c r="Q92" s="260">
        <v>4.3883190000000001</v>
      </c>
      <c r="R92" s="260">
        <v>4.4105869999999996</v>
      </c>
      <c r="S92" s="260">
        <v>4.4328799999999999</v>
      </c>
      <c r="T92" s="260">
        <v>4.455184</v>
      </c>
      <c r="U92" s="260">
        <v>4.4774880000000001</v>
      </c>
      <c r="V92" s="260">
        <v>4.4997829999999999</v>
      </c>
      <c r="W92" s="260">
        <v>4.5220639999999994</v>
      </c>
      <c r="X92" s="260">
        <v>4.5443319999999998</v>
      </c>
      <c r="Y92" s="260">
        <v>4.566586</v>
      </c>
      <c r="Z92" s="260">
        <v>4.5888249999999999</v>
      </c>
      <c r="AA92" s="260">
        <v>4.6110479999999994</v>
      </c>
      <c r="AB92" s="260">
        <v>4.6332550000000001</v>
      </c>
      <c r="AC92" s="260">
        <v>4.6554459999999995</v>
      </c>
      <c r="AD92" s="260">
        <v>4.677619</v>
      </c>
      <c r="AE92" s="260">
        <v>4.6997749999999998</v>
      </c>
      <c r="AF92" s="260">
        <v>4.7219119999999997</v>
      </c>
      <c r="AG92" s="260">
        <v>4.7440299999999995</v>
      </c>
      <c r="AH92" s="260">
        <v>4.7661280000000001</v>
      </c>
      <c r="AI92" s="260">
        <v>4.7882059999999997</v>
      </c>
      <c r="AJ92" s="260">
        <v>4.810263</v>
      </c>
      <c r="AK92" s="260">
        <v>4.8322989999999999</v>
      </c>
      <c r="AL92" s="260">
        <v>4.8543129999999994</v>
      </c>
      <c r="AM92" s="260">
        <v>4.8763040000000002</v>
      </c>
      <c r="AN92" s="260">
        <v>4.8982719999999995</v>
      </c>
      <c r="AO92" s="260">
        <v>4.9202170000000001</v>
      </c>
      <c r="AP92" s="260">
        <v>4.9421379999999999</v>
      </c>
      <c r="AQ92" s="260">
        <v>4.9640329999999997</v>
      </c>
      <c r="AR92" s="260">
        <v>4.9859039999999997</v>
      </c>
      <c r="AS92" s="260">
        <v>5.0077489999999996</v>
      </c>
      <c r="AT92" s="260">
        <v>5.0295670000000001</v>
      </c>
      <c r="AU92" s="260">
        <v>5.0513589999999997</v>
      </c>
      <c r="AV92" s="260">
        <v>5.0731229999999998</v>
      </c>
      <c r="AW92" s="260">
        <v>5.0948599999999997</v>
      </c>
      <c r="AX92" s="260">
        <v>5.116568</v>
      </c>
      <c r="AY92" s="260">
        <v>5.1382479999999999</v>
      </c>
      <c r="AZ92" s="260">
        <v>5.1598980000000001</v>
      </c>
      <c r="BA92" s="260">
        <v>5.1815179999999996</v>
      </c>
      <c r="BB92" s="260">
        <v>5.2031089999999995</v>
      </c>
      <c r="BC92" s="260">
        <v>5.2246679999999994</v>
      </c>
      <c r="BD92" s="260">
        <v>5.2461969999999996</v>
      </c>
      <c r="BE92" s="260">
        <v>5.2676929999999995</v>
      </c>
      <c r="BF92" s="260">
        <v>5.2891579999999996</v>
      </c>
      <c r="BG92" s="260">
        <v>5.3105899999999995</v>
      </c>
      <c r="BH92" s="260">
        <v>5.3319899999999993</v>
      </c>
      <c r="BI92" s="260">
        <v>5.3533549999999996</v>
      </c>
      <c r="BJ92" s="260">
        <v>5.3746869999999998</v>
      </c>
      <c r="BK92" s="260">
        <v>5.3959849999999996</v>
      </c>
      <c r="BL92" s="260">
        <v>5.4172479999999998</v>
      </c>
      <c r="BM92" s="260">
        <v>5.4384759999999996</v>
      </c>
      <c r="BN92" s="260">
        <v>5.4596689999999999</v>
      </c>
      <c r="BO92" s="260">
        <v>5.4808249999999994</v>
      </c>
      <c r="BP92" s="260">
        <v>5.5019459999999993</v>
      </c>
      <c r="BQ92" s="260">
        <v>5.5230290000000002</v>
      </c>
      <c r="BR92" s="260">
        <v>5.5440759999999996</v>
      </c>
      <c r="BS92" s="260">
        <v>5.5650849999999998</v>
      </c>
      <c r="BT92" s="260">
        <v>5.5860560000000001</v>
      </c>
      <c r="BU92" s="260">
        <v>5.6069889999999996</v>
      </c>
      <c r="BV92" s="260">
        <v>5.6278839999999999</v>
      </c>
      <c r="BW92" s="260">
        <v>5.648739</v>
      </c>
      <c r="BX92" s="260">
        <v>5.6695549999999999</v>
      </c>
      <c r="BY92" s="260">
        <v>5.6903319999999997</v>
      </c>
      <c r="BZ92" s="260">
        <v>5.7110690000000002</v>
      </c>
      <c r="CA92" s="260">
        <v>5.7317649999999993</v>
      </c>
      <c r="CB92" s="260">
        <v>5.752421</v>
      </c>
      <c r="CC92" s="260">
        <v>5.7730359999999994</v>
      </c>
      <c r="CD92" s="260">
        <v>5.793609</v>
      </c>
      <c r="CE92" s="260">
        <v>5.8141409999999993</v>
      </c>
      <c r="CF92" s="260">
        <v>5.8346309999999999</v>
      </c>
      <c r="CG92" s="260">
        <v>5.8550789999999999</v>
      </c>
      <c r="CH92" s="260">
        <v>5.8754840000000002</v>
      </c>
    </row>
    <row r="93" spans="1:86" x14ac:dyDescent="0.25">
      <c r="A93" s="170">
        <v>1</v>
      </c>
      <c r="B93" s="170">
        <v>92</v>
      </c>
      <c r="C93" s="259">
        <v>3.6670699119567871</v>
      </c>
      <c r="D93" s="259">
        <v>3.6800711154937744</v>
      </c>
      <c r="E93" s="259">
        <v>3.6930611133575439</v>
      </c>
      <c r="F93" s="259">
        <v>3.7060399055480957</v>
      </c>
      <c r="G93" s="259">
        <v>3.7190070152282715</v>
      </c>
      <c r="H93" s="259">
        <v>3.7319619655609131</v>
      </c>
      <c r="I93" s="260">
        <v>3.9396969999999998</v>
      </c>
      <c r="J93" s="260">
        <v>3.9590009999999998</v>
      </c>
      <c r="K93" s="260">
        <v>3.9784059999999997</v>
      </c>
      <c r="L93" s="260">
        <v>3.9979119999999999</v>
      </c>
      <c r="M93" s="260">
        <v>4.0175130000000001</v>
      </c>
      <c r="N93" s="260">
        <v>4.0372019999999997</v>
      </c>
      <c r="O93" s="260">
        <v>4.0569679999999995</v>
      </c>
      <c r="P93" s="260">
        <v>4.0768009999999997</v>
      </c>
      <c r="Q93" s="260">
        <v>4.0966879999999994</v>
      </c>
      <c r="R93" s="260">
        <v>4.1166149999999995</v>
      </c>
      <c r="S93" s="260">
        <v>4.1365679999999996</v>
      </c>
      <c r="T93" s="260">
        <v>4.1565349999999999</v>
      </c>
      <c r="U93" s="260">
        <v>4.1765029999999994</v>
      </c>
      <c r="V93" s="260">
        <v>4.196466</v>
      </c>
      <c r="W93" s="260">
        <v>4.2164190000000001</v>
      </c>
      <c r="X93" s="260">
        <v>4.2363629999999999</v>
      </c>
      <c r="Y93" s="260">
        <v>4.2562959999999999</v>
      </c>
      <c r="Z93" s="260">
        <v>4.2762180000000001</v>
      </c>
      <c r="AA93" s="260">
        <v>4.2961289999999996</v>
      </c>
      <c r="AB93" s="260">
        <v>4.3160280000000002</v>
      </c>
      <c r="AC93" s="260">
        <v>4.3359139999999998</v>
      </c>
      <c r="AD93" s="260">
        <v>4.3557869999999994</v>
      </c>
      <c r="AE93" s="260">
        <v>4.375648</v>
      </c>
      <c r="AF93" s="260">
        <v>4.3954940000000002</v>
      </c>
      <c r="AG93" s="260">
        <v>4.4153259999999994</v>
      </c>
      <c r="AH93" s="260">
        <v>4.4351430000000001</v>
      </c>
      <c r="AI93" s="260">
        <v>4.4549440000000002</v>
      </c>
      <c r="AJ93" s="260">
        <v>4.4747300000000001</v>
      </c>
      <c r="AK93" s="260">
        <v>4.4944999999999995</v>
      </c>
      <c r="AL93" s="260">
        <v>4.5142530000000001</v>
      </c>
      <c r="AM93" s="260">
        <v>4.533989</v>
      </c>
      <c r="AN93" s="260">
        <v>4.5537070000000002</v>
      </c>
      <c r="AO93" s="260">
        <v>4.5734069999999996</v>
      </c>
      <c r="AP93" s="260">
        <v>4.593089</v>
      </c>
      <c r="AQ93" s="260">
        <v>4.6127519999999995</v>
      </c>
      <c r="AR93" s="260">
        <v>4.6323949999999998</v>
      </c>
      <c r="AS93" s="260">
        <v>4.6520190000000001</v>
      </c>
      <c r="AT93" s="260">
        <v>4.6716220000000002</v>
      </c>
      <c r="AU93" s="260">
        <v>4.6912050000000001</v>
      </c>
      <c r="AV93" s="260">
        <v>4.7107669999999997</v>
      </c>
      <c r="AW93" s="260">
        <v>4.7303069999999998</v>
      </c>
      <c r="AX93" s="260">
        <v>4.7498249999999995</v>
      </c>
      <c r="AY93" s="260">
        <v>4.7693209999999997</v>
      </c>
      <c r="AZ93" s="260">
        <v>4.7887949999999995</v>
      </c>
      <c r="BA93" s="260">
        <v>4.8082449999999994</v>
      </c>
      <c r="BB93" s="260">
        <v>4.8276709999999996</v>
      </c>
      <c r="BC93" s="260">
        <v>4.8470740000000001</v>
      </c>
      <c r="BD93" s="260">
        <v>4.8664529999999999</v>
      </c>
      <c r="BE93" s="260">
        <v>4.8858069999999998</v>
      </c>
      <c r="BF93" s="260">
        <v>4.9051359999999997</v>
      </c>
      <c r="BG93" s="260">
        <v>4.9244389999999996</v>
      </c>
      <c r="BH93" s="260">
        <v>4.9437169999999995</v>
      </c>
      <c r="BI93" s="260">
        <v>4.9629690000000002</v>
      </c>
      <c r="BJ93" s="260">
        <v>4.9821939999999998</v>
      </c>
      <c r="BK93" s="260">
        <v>5.0013920000000001</v>
      </c>
      <c r="BL93" s="260">
        <v>5.0205630000000001</v>
      </c>
      <c r="BM93" s="260">
        <v>5.0397069999999999</v>
      </c>
      <c r="BN93" s="260">
        <v>5.0588220000000002</v>
      </c>
      <c r="BO93" s="260">
        <v>5.0779100000000001</v>
      </c>
      <c r="BP93" s="260">
        <v>5.0969679999999995</v>
      </c>
      <c r="BQ93" s="260">
        <v>5.1159979999999994</v>
      </c>
      <c r="BR93" s="260">
        <v>5.1349989999999996</v>
      </c>
      <c r="BS93" s="260">
        <v>5.1539700000000002</v>
      </c>
      <c r="BT93" s="260">
        <v>5.1729120000000002</v>
      </c>
      <c r="BU93" s="260">
        <v>5.1918229999999994</v>
      </c>
      <c r="BV93" s="260">
        <v>5.2107029999999996</v>
      </c>
      <c r="BW93" s="260">
        <v>5.2295530000000001</v>
      </c>
      <c r="BX93" s="260">
        <v>5.2483719999999998</v>
      </c>
      <c r="BY93" s="260">
        <v>5.2671589999999995</v>
      </c>
      <c r="BZ93" s="260">
        <v>5.2859150000000001</v>
      </c>
      <c r="CA93" s="260">
        <v>5.3046379999999997</v>
      </c>
      <c r="CB93" s="260">
        <v>5.3233299999999995</v>
      </c>
      <c r="CC93" s="260">
        <v>5.3419879999999997</v>
      </c>
      <c r="CD93" s="260">
        <v>5.360614</v>
      </c>
      <c r="CE93" s="260">
        <v>5.3792070000000001</v>
      </c>
      <c r="CF93" s="260">
        <v>5.397767</v>
      </c>
      <c r="CG93" s="260">
        <v>5.4162919999999994</v>
      </c>
      <c r="CH93" s="260">
        <v>5.4347839999999996</v>
      </c>
    </row>
    <row r="94" spans="1:86" x14ac:dyDescent="0.25">
      <c r="A94" s="170">
        <v>1</v>
      </c>
      <c r="B94" s="170">
        <v>93</v>
      </c>
      <c r="C94" s="259">
        <v>3.4325690269470215</v>
      </c>
      <c r="D94" s="259">
        <v>3.4438629150390625</v>
      </c>
      <c r="E94" s="259">
        <v>3.4551448822021484</v>
      </c>
      <c r="F94" s="259">
        <v>3.4664130210876465</v>
      </c>
      <c r="G94" s="259">
        <v>3.4776680469512939</v>
      </c>
      <c r="H94" s="259">
        <v>3.4889109134674072</v>
      </c>
      <c r="I94" s="260">
        <v>3.680698</v>
      </c>
      <c r="J94" s="260">
        <v>3.6977989999999998</v>
      </c>
      <c r="K94" s="260">
        <v>3.7149939999999999</v>
      </c>
      <c r="L94" s="260">
        <v>3.7322789999999997</v>
      </c>
      <c r="M94" s="260">
        <v>3.7496489999999998</v>
      </c>
      <c r="N94" s="260">
        <v>3.7671009999999998</v>
      </c>
      <c r="O94" s="260">
        <v>3.7846229999999998</v>
      </c>
      <c r="P94" s="260">
        <v>3.8022079999999998</v>
      </c>
      <c r="Q94" s="260">
        <v>3.8198449999999999</v>
      </c>
      <c r="R94" s="260">
        <v>3.83752</v>
      </c>
      <c r="S94" s="260">
        <v>3.8552199999999996</v>
      </c>
      <c r="T94" s="260">
        <v>3.872935</v>
      </c>
      <c r="U94" s="260">
        <v>3.8906539999999996</v>
      </c>
      <c r="V94" s="260">
        <v>3.908369</v>
      </c>
      <c r="W94" s="260">
        <v>3.9260769999999998</v>
      </c>
      <c r="X94" s="260">
        <v>3.9437769999999999</v>
      </c>
      <c r="Y94" s="260">
        <v>3.9614699999999998</v>
      </c>
      <c r="Z94" s="260">
        <v>3.979155</v>
      </c>
      <c r="AA94" s="260">
        <v>3.9968309999999998</v>
      </c>
      <c r="AB94" s="260">
        <v>4.0144979999999997</v>
      </c>
      <c r="AC94" s="260">
        <v>4.0321559999999996</v>
      </c>
      <c r="AD94" s="260">
        <v>4.0498050000000001</v>
      </c>
      <c r="AE94" s="260">
        <v>4.0674429999999999</v>
      </c>
      <c r="AF94" s="260">
        <v>4.0850710000000001</v>
      </c>
      <c r="AG94" s="260">
        <v>4.1026879999999997</v>
      </c>
      <c r="AH94" s="260">
        <v>4.1202930000000002</v>
      </c>
      <c r="AI94" s="260">
        <v>4.1378870000000001</v>
      </c>
      <c r="AJ94" s="260">
        <v>4.1554690000000001</v>
      </c>
      <c r="AK94" s="260">
        <v>4.1730390000000002</v>
      </c>
      <c r="AL94" s="260">
        <v>4.1905960000000002</v>
      </c>
      <c r="AM94" s="260">
        <v>4.2081400000000002</v>
      </c>
      <c r="AN94" s="260">
        <v>4.2256710000000002</v>
      </c>
      <c r="AO94" s="260">
        <v>4.2431869999999998</v>
      </c>
      <c r="AP94" s="260">
        <v>4.2606899999999994</v>
      </c>
      <c r="AQ94" s="260">
        <v>4.2781779999999996</v>
      </c>
      <c r="AR94" s="260">
        <v>4.2956509999999994</v>
      </c>
      <c r="AS94" s="260">
        <v>4.3131089999999999</v>
      </c>
      <c r="AT94" s="260">
        <v>4.330552</v>
      </c>
      <c r="AU94" s="260">
        <v>4.3479789999999996</v>
      </c>
      <c r="AV94" s="260">
        <v>4.3653889999999995</v>
      </c>
      <c r="AW94" s="260">
        <v>4.382784</v>
      </c>
      <c r="AX94" s="260">
        <v>4.4001609999999998</v>
      </c>
      <c r="AY94" s="260">
        <v>4.4175209999999998</v>
      </c>
      <c r="AZ94" s="260">
        <v>4.434863</v>
      </c>
      <c r="BA94" s="260">
        <v>4.4521879999999996</v>
      </c>
      <c r="BB94" s="260">
        <v>4.4694950000000002</v>
      </c>
      <c r="BC94" s="260">
        <v>4.486783</v>
      </c>
      <c r="BD94" s="260">
        <v>4.5040519999999997</v>
      </c>
      <c r="BE94" s="260">
        <v>4.5213019999999995</v>
      </c>
      <c r="BF94" s="260">
        <v>4.5385330000000002</v>
      </c>
      <c r="BG94" s="260">
        <v>4.5557449999999999</v>
      </c>
      <c r="BH94" s="260">
        <v>4.5729359999999994</v>
      </c>
      <c r="BI94" s="260">
        <v>4.5901069999999997</v>
      </c>
      <c r="BJ94" s="260">
        <v>4.6072569999999997</v>
      </c>
      <c r="BK94" s="260">
        <v>4.6243869999999996</v>
      </c>
      <c r="BL94" s="260">
        <v>4.6414949999999999</v>
      </c>
      <c r="BM94" s="260">
        <v>4.658582</v>
      </c>
      <c r="BN94" s="260">
        <v>4.6756479999999998</v>
      </c>
      <c r="BO94" s="260">
        <v>4.6926909999999999</v>
      </c>
      <c r="BP94" s="260">
        <v>4.7097119999999997</v>
      </c>
      <c r="BQ94" s="260">
        <v>4.7267109999999999</v>
      </c>
      <c r="BR94" s="260">
        <v>4.7436859999999994</v>
      </c>
      <c r="BS94" s="260">
        <v>4.7606389999999994</v>
      </c>
      <c r="BT94" s="260">
        <v>4.7775679999999996</v>
      </c>
      <c r="BU94" s="260">
        <v>4.7944740000000001</v>
      </c>
      <c r="BV94" s="260">
        <v>4.811356</v>
      </c>
      <c r="BW94" s="260">
        <v>4.828214</v>
      </c>
      <c r="BX94" s="260">
        <v>4.8450470000000001</v>
      </c>
      <c r="BY94" s="260">
        <v>4.8618559999999995</v>
      </c>
      <c r="BZ94" s="260">
        <v>4.8786399999999999</v>
      </c>
      <c r="CA94" s="260">
        <v>4.8953989999999994</v>
      </c>
      <c r="CB94" s="260">
        <v>4.9121329999999999</v>
      </c>
      <c r="CC94" s="260">
        <v>4.9288409999999994</v>
      </c>
      <c r="CD94" s="260">
        <v>4.9455229999999997</v>
      </c>
      <c r="CE94" s="260">
        <v>4.9621789999999999</v>
      </c>
      <c r="CF94" s="260">
        <v>4.978809</v>
      </c>
      <c r="CG94" s="260">
        <v>4.9954130000000001</v>
      </c>
      <c r="CH94" s="260">
        <v>5.0119899999999999</v>
      </c>
    </row>
    <row r="95" spans="1:86" x14ac:dyDescent="0.25">
      <c r="A95" s="170">
        <v>1</v>
      </c>
      <c r="B95" s="170">
        <v>94</v>
      </c>
      <c r="C95" s="259">
        <v>3.2104310989379883</v>
      </c>
      <c r="D95" s="259">
        <v>3.2196369171142578</v>
      </c>
      <c r="E95" s="259">
        <v>3.2288310527801514</v>
      </c>
      <c r="F95" s="259">
        <v>3.2380149364471436</v>
      </c>
      <c r="G95" s="259">
        <v>3.2471880912780762</v>
      </c>
      <c r="H95" s="259">
        <v>3.256350040435791</v>
      </c>
      <c r="I95" s="260">
        <v>3.435397</v>
      </c>
      <c r="J95" s="260">
        <v>3.450402</v>
      </c>
      <c r="K95" s="260">
        <v>3.4654889999999998</v>
      </c>
      <c r="L95" s="260">
        <v>3.4806559999999998</v>
      </c>
      <c r="M95" s="260">
        <v>3.4958989999999996</v>
      </c>
      <c r="N95" s="260">
        <v>3.5112139999999998</v>
      </c>
      <c r="O95" s="260">
        <v>3.5265949999999999</v>
      </c>
      <c r="P95" s="260">
        <v>3.542033</v>
      </c>
      <c r="Q95" s="260">
        <v>3.5575169999999998</v>
      </c>
      <c r="R95" s="260">
        <v>3.5730379999999999</v>
      </c>
      <c r="S95" s="260">
        <v>3.588584</v>
      </c>
      <c r="T95" s="260">
        <v>3.6041429999999997</v>
      </c>
      <c r="U95" s="260">
        <v>3.6197079999999997</v>
      </c>
      <c r="V95" s="260">
        <v>3.6352699999999998</v>
      </c>
      <c r="W95" s="260">
        <v>3.6508259999999999</v>
      </c>
      <c r="X95" s="260">
        <v>3.6663769999999998</v>
      </c>
      <c r="Y95" s="260">
        <v>3.6819219999999997</v>
      </c>
      <c r="Z95" s="260">
        <v>3.6974609999999997</v>
      </c>
      <c r="AA95" s="260">
        <v>3.712993</v>
      </c>
      <c r="AB95" s="260">
        <v>3.7285179999999998</v>
      </c>
      <c r="AC95" s="260">
        <v>3.7440359999999999</v>
      </c>
      <c r="AD95" s="260">
        <v>3.759547</v>
      </c>
      <c r="AE95" s="260">
        <v>3.7750489999999997</v>
      </c>
      <c r="AF95" s="260">
        <v>3.7905439999999997</v>
      </c>
      <c r="AG95" s="260">
        <v>3.8060299999999998</v>
      </c>
      <c r="AH95" s="260">
        <v>3.8215079999999997</v>
      </c>
      <c r="AI95" s="260">
        <v>3.8369769999999996</v>
      </c>
      <c r="AJ95" s="260">
        <v>3.852436</v>
      </c>
      <c r="AK95" s="260">
        <v>3.8678869999999996</v>
      </c>
      <c r="AL95" s="260">
        <v>3.883327</v>
      </c>
      <c r="AM95" s="260">
        <v>3.8987569999999998</v>
      </c>
      <c r="AN95" s="260">
        <v>3.914177</v>
      </c>
      <c r="AO95" s="260">
        <v>3.929586</v>
      </c>
      <c r="AP95" s="260">
        <v>3.944985</v>
      </c>
      <c r="AQ95" s="260">
        <v>3.960372</v>
      </c>
      <c r="AR95" s="260">
        <v>3.9757479999999998</v>
      </c>
      <c r="AS95" s="260">
        <v>3.9911119999999998</v>
      </c>
      <c r="AT95" s="260">
        <v>4.0064640000000002</v>
      </c>
      <c r="AU95" s="260">
        <v>4.0218039999999995</v>
      </c>
      <c r="AV95" s="260">
        <v>4.0371309999999996</v>
      </c>
      <c r="AW95" s="260">
        <v>4.0524459999999998</v>
      </c>
      <c r="AX95" s="260">
        <v>4.0677479999999999</v>
      </c>
      <c r="AY95" s="260">
        <v>4.083037</v>
      </c>
      <c r="AZ95" s="260">
        <v>4.098312</v>
      </c>
      <c r="BA95" s="260">
        <v>4.1135729999999997</v>
      </c>
      <c r="BB95" s="260">
        <v>4.1288200000000002</v>
      </c>
      <c r="BC95" s="260">
        <v>4.1440529999999995</v>
      </c>
      <c r="BD95" s="260">
        <v>4.1592719999999996</v>
      </c>
      <c r="BE95" s="260">
        <v>4.1744759999999994</v>
      </c>
      <c r="BF95" s="260">
        <v>4.1896639999999996</v>
      </c>
      <c r="BG95" s="260">
        <v>4.2048379999999996</v>
      </c>
      <c r="BH95" s="260">
        <v>4.2199960000000001</v>
      </c>
      <c r="BI95" s="260">
        <v>4.2351390000000002</v>
      </c>
      <c r="BJ95" s="260">
        <v>4.2502659999999999</v>
      </c>
      <c r="BK95" s="260">
        <v>4.2653759999999998</v>
      </c>
      <c r="BL95" s="260">
        <v>4.2804700000000002</v>
      </c>
      <c r="BM95" s="260">
        <v>4.2955480000000001</v>
      </c>
      <c r="BN95" s="260">
        <v>4.3106089999999995</v>
      </c>
      <c r="BO95" s="260">
        <v>4.325653</v>
      </c>
      <c r="BP95" s="260">
        <v>4.3406789999999997</v>
      </c>
      <c r="BQ95" s="260">
        <v>4.3556889999999999</v>
      </c>
      <c r="BR95" s="260">
        <v>4.3706800000000001</v>
      </c>
      <c r="BS95" s="260">
        <v>4.3856539999999997</v>
      </c>
      <c r="BT95" s="260">
        <v>4.4006090000000002</v>
      </c>
      <c r="BU95" s="260">
        <v>4.4155470000000001</v>
      </c>
      <c r="BV95" s="260">
        <v>4.4304649999999999</v>
      </c>
      <c r="BW95" s="260">
        <v>4.4453649999999998</v>
      </c>
      <c r="BX95" s="260">
        <v>4.4602469999999999</v>
      </c>
      <c r="BY95" s="260">
        <v>4.4751089999999998</v>
      </c>
      <c r="BZ95" s="260">
        <v>4.4899519999999997</v>
      </c>
      <c r="CA95" s="260">
        <v>4.5047749999999995</v>
      </c>
      <c r="CB95" s="260">
        <v>4.5195790000000002</v>
      </c>
      <c r="CC95" s="260">
        <v>4.5343619999999998</v>
      </c>
      <c r="CD95" s="260">
        <v>4.5491260000000002</v>
      </c>
      <c r="CE95" s="260">
        <v>4.5638699999999996</v>
      </c>
      <c r="CF95" s="260">
        <v>4.5785929999999997</v>
      </c>
      <c r="CG95" s="260">
        <v>4.5932949999999995</v>
      </c>
      <c r="CH95" s="260">
        <v>4.607977</v>
      </c>
    </row>
    <row r="96" spans="1:86" x14ac:dyDescent="0.25">
      <c r="A96" s="170">
        <v>1</v>
      </c>
      <c r="B96" s="170">
        <v>95</v>
      </c>
      <c r="C96" s="259">
        <v>2.9986040592193604</v>
      </c>
      <c r="D96" s="259">
        <v>3.0051679611206055</v>
      </c>
      <c r="E96" s="259">
        <v>3.0117299556732178</v>
      </c>
      <c r="F96" s="259">
        <v>3.0182890892028809</v>
      </c>
      <c r="G96" s="259">
        <v>3.0248470306396484</v>
      </c>
      <c r="H96" s="259">
        <v>3.0314021110534668</v>
      </c>
      <c r="I96" s="260">
        <v>3.20356</v>
      </c>
      <c r="J96" s="260">
        <v>3.2165759999999999</v>
      </c>
      <c r="K96" s="260">
        <v>3.2296639999999996</v>
      </c>
      <c r="L96" s="260">
        <v>3.2428219999999999</v>
      </c>
      <c r="M96" s="260">
        <v>3.2560469999999997</v>
      </c>
      <c r="N96" s="260">
        <v>3.2693349999999999</v>
      </c>
      <c r="O96" s="260">
        <v>3.2826809999999997</v>
      </c>
      <c r="P96" s="260">
        <v>3.2960780000000001</v>
      </c>
      <c r="Q96" s="260">
        <v>3.309517</v>
      </c>
      <c r="R96" s="260">
        <v>3.3229889999999997</v>
      </c>
      <c r="S96" s="260">
        <v>3.3364849999999997</v>
      </c>
      <c r="T96" s="260">
        <v>3.3499939999999997</v>
      </c>
      <c r="U96" s="260">
        <v>3.3635069999999998</v>
      </c>
      <c r="V96" s="260">
        <v>3.3770189999999998</v>
      </c>
      <c r="W96" s="260">
        <v>3.3905259999999999</v>
      </c>
      <c r="X96" s="260">
        <v>3.404029</v>
      </c>
      <c r="Y96" s="260">
        <v>3.4175269999999998</v>
      </c>
      <c r="Z96" s="260">
        <v>3.4310199999999997</v>
      </c>
      <c r="AA96" s="260">
        <v>3.4445069999999998</v>
      </c>
      <c r="AB96" s="260">
        <v>3.457989</v>
      </c>
      <c r="AC96" s="260">
        <v>3.4714649999999998</v>
      </c>
      <c r="AD96" s="260">
        <v>3.4849349999999997</v>
      </c>
      <c r="AE96" s="260">
        <v>3.498399</v>
      </c>
      <c r="AF96" s="260">
        <v>3.5118559999999999</v>
      </c>
      <c r="AG96" s="260">
        <v>3.5253069999999997</v>
      </c>
      <c r="AH96" s="260">
        <v>3.538751</v>
      </c>
      <c r="AI96" s="260">
        <v>3.5521879999999997</v>
      </c>
      <c r="AJ96" s="260">
        <v>3.565617</v>
      </c>
      <c r="AK96" s="260">
        <v>3.5790389999999999</v>
      </c>
      <c r="AL96" s="260">
        <v>3.592454</v>
      </c>
      <c r="AM96" s="260">
        <v>3.6058599999999998</v>
      </c>
      <c r="AN96" s="260">
        <v>3.6192579999999999</v>
      </c>
      <c r="AO96" s="260">
        <v>3.6326479999999997</v>
      </c>
      <c r="AP96" s="260">
        <v>3.6460299999999997</v>
      </c>
      <c r="AQ96" s="260">
        <v>3.659402</v>
      </c>
      <c r="AR96" s="260">
        <v>3.6727659999999998</v>
      </c>
      <c r="AS96" s="260">
        <v>3.6861199999999998</v>
      </c>
      <c r="AT96" s="260">
        <v>3.6994659999999997</v>
      </c>
      <c r="AU96" s="260">
        <v>3.7128009999999998</v>
      </c>
      <c r="AV96" s="260">
        <v>3.726127</v>
      </c>
      <c r="AW96" s="260">
        <v>3.7394429999999996</v>
      </c>
      <c r="AX96" s="260">
        <v>3.7527489999999997</v>
      </c>
      <c r="AY96" s="260">
        <v>3.7660449999999996</v>
      </c>
      <c r="AZ96" s="260">
        <v>3.7793299999999999</v>
      </c>
      <c r="BA96" s="260">
        <v>3.792605</v>
      </c>
      <c r="BB96" s="260">
        <v>3.8058679999999998</v>
      </c>
      <c r="BC96" s="260">
        <v>3.819121</v>
      </c>
      <c r="BD96" s="260">
        <v>3.8323619999999998</v>
      </c>
      <c r="BE96" s="260">
        <v>3.8455919999999999</v>
      </c>
      <c r="BF96" s="260">
        <v>3.8588099999999996</v>
      </c>
      <c r="BG96" s="260">
        <v>3.872017</v>
      </c>
      <c r="BH96" s="260">
        <v>3.885211</v>
      </c>
      <c r="BI96" s="260">
        <v>3.8983939999999997</v>
      </c>
      <c r="BJ96" s="260">
        <v>3.9115639999999998</v>
      </c>
      <c r="BK96" s="260">
        <v>3.924722</v>
      </c>
      <c r="BL96" s="260">
        <v>3.9378669999999998</v>
      </c>
      <c r="BM96" s="260">
        <v>3.9509989999999999</v>
      </c>
      <c r="BN96" s="260">
        <v>3.964118</v>
      </c>
      <c r="BO96" s="260">
        <v>3.9772239999999996</v>
      </c>
      <c r="BP96" s="260">
        <v>3.9903169999999997</v>
      </c>
      <c r="BQ96" s="260">
        <v>4.0033959999999995</v>
      </c>
      <c r="BR96" s="260">
        <v>4.0164619999999998</v>
      </c>
      <c r="BS96" s="260">
        <v>4.0295139999999998</v>
      </c>
      <c r="BT96" s="260">
        <v>4.0425519999999997</v>
      </c>
      <c r="BU96" s="260">
        <v>4.0555750000000002</v>
      </c>
      <c r="BV96" s="260">
        <v>4.0685849999999997</v>
      </c>
      <c r="BW96" s="260">
        <v>4.0815799999999998</v>
      </c>
      <c r="BX96" s="260">
        <v>4.0945599999999995</v>
      </c>
      <c r="BY96" s="260">
        <v>4.107526</v>
      </c>
      <c r="BZ96" s="260">
        <v>4.1204770000000002</v>
      </c>
      <c r="CA96" s="260">
        <v>4.133413</v>
      </c>
      <c r="CB96" s="260">
        <v>4.1463329999999994</v>
      </c>
      <c r="CC96" s="260">
        <v>4.1592389999999995</v>
      </c>
      <c r="CD96" s="260">
        <v>4.172129</v>
      </c>
      <c r="CE96" s="260">
        <v>4.185003</v>
      </c>
      <c r="CF96" s="260">
        <v>4.1978609999999996</v>
      </c>
      <c r="CG96" s="260">
        <v>4.2107039999999998</v>
      </c>
      <c r="CH96" s="260">
        <v>4.2235300000000002</v>
      </c>
    </row>
    <row r="97" spans="1:86" x14ac:dyDescent="0.25">
      <c r="A97" s="170">
        <v>1</v>
      </c>
      <c r="B97" s="170">
        <v>96</v>
      </c>
      <c r="C97" s="259">
        <v>2.8101561069488525</v>
      </c>
      <c r="D97" s="259">
        <v>2.8160290718078613</v>
      </c>
      <c r="E97" s="259">
        <v>2.8218979835510254</v>
      </c>
      <c r="F97" s="259">
        <v>2.8277630805969238</v>
      </c>
      <c r="G97" s="259">
        <v>2.833622932434082</v>
      </c>
      <c r="H97" s="259">
        <v>2.8394789695739746</v>
      </c>
      <c r="I97" s="260">
        <v>2.9851289999999997</v>
      </c>
      <c r="J97" s="260">
        <v>2.9962689999999998</v>
      </c>
      <c r="K97" s="260">
        <v>3.0074679999999998</v>
      </c>
      <c r="L97" s="260">
        <v>3.018729</v>
      </c>
      <c r="M97" s="260">
        <v>3.0300469999999997</v>
      </c>
      <c r="N97" s="260">
        <v>3.04142</v>
      </c>
      <c r="O97" s="260">
        <v>3.0528420000000001</v>
      </c>
      <c r="P97" s="260">
        <v>3.0643089999999997</v>
      </c>
      <c r="Q97" s="260">
        <v>3.0758139999999998</v>
      </c>
      <c r="R97" s="260">
        <v>3.0873469999999998</v>
      </c>
      <c r="S97" s="260">
        <v>3.0989009999999997</v>
      </c>
      <c r="T97" s="260">
        <v>3.110468</v>
      </c>
      <c r="U97" s="260">
        <v>3.122039</v>
      </c>
      <c r="V97" s="260">
        <v>3.1336079999999997</v>
      </c>
      <c r="W97" s="260">
        <v>3.1451729999999998</v>
      </c>
      <c r="X97" s="260">
        <v>3.1567339999999997</v>
      </c>
      <c r="Y97" s="260">
        <v>3.168291</v>
      </c>
      <c r="Z97" s="260">
        <v>3.179843</v>
      </c>
      <c r="AA97" s="260">
        <v>3.1913909999999999</v>
      </c>
      <c r="AB97" s="260">
        <v>3.2029339999999999</v>
      </c>
      <c r="AC97" s="260">
        <v>3.2144719999999998</v>
      </c>
      <c r="AD97" s="260">
        <v>3.2260049999999998</v>
      </c>
      <c r="AE97" s="260">
        <v>3.237533</v>
      </c>
      <c r="AF97" s="260">
        <v>3.2490559999999999</v>
      </c>
      <c r="AG97" s="260">
        <v>3.2605729999999999</v>
      </c>
      <c r="AH97" s="260">
        <v>3.272084</v>
      </c>
      <c r="AI97" s="260">
        <v>3.2835899999999998</v>
      </c>
      <c r="AJ97" s="260">
        <v>3.2950889999999999</v>
      </c>
      <c r="AK97" s="260">
        <v>3.3065819999999997</v>
      </c>
      <c r="AL97" s="260">
        <v>3.3180689999999999</v>
      </c>
      <c r="AM97" s="260">
        <v>3.3295499999999998</v>
      </c>
      <c r="AN97" s="260">
        <v>3.341024</v>
      </c>
      <c r="AO97" s="260">
        <v>3.3524909999999997</v>
      </c>
      <c r="AP97" s="260">
        <v>3.3639519999999998</v>
      </c>
      <c r="AQ97" s="260">
        <v>3.3754049999999998</v>
      </c>
      <c r="AR97" s="260">
        <v>3.3868519999999998</v>
      </c>
      <c r="AS97" s="260">
        <v>3.398291</v>
      </c>
      <c r="AT97" s="260">
        <v>3.4097219999999999</v>
      </c>
      <c r="AU97" s="260">
        <v>3.4211459999999998</v>
      </c>
      <c r="AV97" s="260">
        <v>3.4325619999999999</v>
      </c>
      <c r="AW97" s="260">
        <v>3.4439709999999999</v>
      </c>
      <c r="AX97" s="260">
        <v>3.455371</v>
      </c>
      <c r="AY97" s="260">
        <v>3.4667629999999998</v>
      </c>
      <c r="AZ97" s="260">
        <v>3.4781469999999999</v>
      </c>
      <c r="BA97" s="260">
        <v>3.4895229999999997</v>
      </c>
      <c r="BB97" s="260">
        <v>3.5008900000000001</v>
      </c>
      <c r="BC97" s="260">
        <v>3.512248</v>
      </c>
      <c r="BD97" s="260">
        <v>3.5235969999999996</v>
      </c>
      <c r="BE97" s="260">
        <v>3.5349379999999999</v>
      </c>
      <c r="BF97" s="260">
        <v>3.5462689999999997</v>
      </c>
      <c r="BG97" s="260">
        <v>3.5575919999999996</v>
      </c>
      <c r="BH97" s="260">
        <v>3.568905</v>
      </c>
      <c r="BI97" s="260">
        <v>3.5802079999999998</v>
      </c>
      <c r="BJ97" s="260">
        <v>3.5915019999999998</v>
      </c>
      <c r="BK97" s="260">
        <v>3.602786</v>
      </c>
      <c r="BL97" s="260">
        <v>3.6140599999999998</v>
      </c>
      <c r="BM97" s="260">
        <v>3.6253249999999997</v>
      </c>
      <c r="BN97" s="260">
        <v>3.6365789999999998</v>
      </c>
      <c r="BO97" s="260">
        <v>3.6478229999999998</v>
      </c>
      <c r="BP97" s="260">
        <v>3.6590569999999998</v>
      </c>
      <c r="BQ97" s="260">
        <v>3.6702809999999997</v>
      </c>
      <c r="BR97" s="260">
        <v>3.6814929999999997</v>
      </c>
      <c r="BS97" s="260">
        <v>3.6926959999999998</v>
      </c>
      <c r="BT97" s="260">
        <v>3.7038869999999999</v>
      </c>
      <c r="BU97" s="260">
        <v>3.7150669999999999</v>
      </c>
      <c r="BV97" s="260">
        <v>3.7262369999999998</v>
      </c>
      <c r="BW97" s="260">
        <v>3.7373949999999998</v>
      </c>
      <c r="BX97" s="260">
        <v>3.748542</v>
      </c>
      <c r="BY97" s="260">
        <v>3.7596779999999996</v>
      </c>
      <c r="BZ97" s="260">
        <v>3.7708019999999998</v>
      </c>
      <c r="CA97" s="260">
        <v>3.7819149999999997</v>
      </c>
      <c r="CB97" s="260">
        <v>3.7930159999999997</v>
      </c>
      <c r="CC97" s="260">
        <v>3.8041049999999998</v>
      </c>
      <c r="CD97" s="260">
        <v>3.8151829999999998</v>
      </c>
      <c r="CE97" s="260">
        <v>3.8262479999999996</v>
      </c>
      <c r="CF97" s="260">
        <v>3.8373009999999996</v>
      </c>
      <c r="CG97" s="260">
        <v>3.8483419999999997</v>
      </c>
      <c r="CH97" s="260">
        <v>3.8593709999999999</v>
      </c>
    </row>
    <row r="98" spans="1:86" x14ac:dyDescent="0.25">
      <c r="A98" s="170">
        <v>1</v>
      </c>
      <c r="B98" s="170">
        <v>97</v>
      </c>
      <c r="C98" s="259">
        <v>2.6326460838317871</v>
      </c>
      <c r="D98" s="259">
        <v>2.6376569271087646</v>
      </c>
      <c r="E98" s="259">
        <v>2.6426620483398438</v>
      </c>
      <c r="F98" s="259">
        <v>2.6476609706878662</v>
      </c>
      <c r="G98" s="259">
        <v>2.6526529788970947</v>
      </c>
      <c r="H98" s="259">
        <v>2.6576390266418457</v>
      </c>
      <c r="I98" s="260">
        <v>2.779509</v>
      </c>
      <c r="J98" s="260">
        <v>2.7888859999999998</v>
      </c>
      <c r="K98" s="260">
        <v>2.7983129999999998</v>
      </c>
      <c r="L98" s="260">
        <v>2.8077899999999998</v>
      </c>
      <c r="M98" s="260">
        <v>2.8173170000000001</v>
      </c>
      <c r="N98" s="260">
        <v>2.826889</v>
      </c>
      <c r="O98" s="260">
        <v>2.8365039999999997</v>
      </c>
      <c r="P98" s="260">
        <v>2.8461559999999997</v>
      </c>
      <c r="Q98" s="260">
        <v>2.8558409999999999</v>
      </c>
      <c r="R98" s="260">
        <v>2.865551</v>
      </c>
      <c r="S98" s="260">
        <v>2.8752779999999998</v>
      </c>
      <c r="T98" s="260">
        <v>2.8850159999999998</v>
      </c>
      <c r="U98" s="260">
        <v>2.8947579999999999</v>
      </c>
      <c r="V98" s="260">
        <v>2.9044989999999999</v>
      </c>
      <c r="W98" s="260">
        <v>2.9142349999999997</v>
      </c>
      <c r="X98" s="260">
        <v>2.9239679999999999</v>
      </c>
      <c r="Y98" s="260">
        <v>2.933697</v>
      </c>
      <c r="Z98" s="260">
        <v>2.943422</v>
      </c>
      <c r="AA98" s="260">
        <v>2.9531419999999997</v>
      </c>
      <c r="AB98" s="260">
        <v>2.9628589999999999</v>
      </c>
      <c r="AC98" s="260">
        <v>2.9725709999999999</v>
      </c>
      <c r="AD98" s="260">
        <v>2.982278</v>
      </c>
      <c r="AE98" s="260">
        <v>2.991981</v>
      </c>
      <c r="AF98" s="260">
        <v>3.0016799999999999</v>
      </c>
      <c r="AG98" s="260">
        <v>3.0113729999999999</v>
      </c>
      <c r="AH98" s="260">
        <v>3.0210619999999997</v>
      </c>
      <c r="AI98" s="260">
        <v>3.030745</v>
      </c>
      <c r="AJ98" s="260">
        <v>3.0404239999999998</v>
      </c>
      <c r="AK98" s="260">
        <v>3.0500970000000001</v>
      </c>
      <c r="AL98" s="260">
        <v>3.0597650000000001</v>
      </c>
      <c r="AM98" s="260">
        <v>3.0694279999999998</v>
      </c>
      <c r="AN98" s="260">
        <v>3.0790850000000001</v>
      </c>
      <c r="AO98" s="260">
        <v>3.0887370000000001</v>
      </c>
      <c r="AP98" s="260">
        <v>3.0983829999999997</v>
      </c>
      <c r="AQ98" s="260">
        <v>3.1080229999999998</v>
      </c>
      <c r="AR98" s="260">
        <v>3.1176569999999999</v>
      </c>
      <c r="AS98" s="260">
        <v>3.1272849999999996</v>
      </c>
      <c r="AT98" s="260">
        <v>3.1369069999999999</v>
      </c>
      <c r="AU98" s="260">
        <v>3.1465229999999997</v>
      </c>
      <c r="AV98" s="260">
        <v>3.1561319999999999</v>
      </c>
      <c r="AW98" s="260">
        <v>3.1657349999999997</v>
      </c>
      <c r="AX98" s="260">
        <v>3.175332</v>
      </c>
      <c r="AY98" s="260">
        <v>3.1849219999999998</v>
      </c>
      <c r="AZ98" s="260">
        <v>3.1945060000000001</v>
      </c>
      <c r="BA98" s="260">
        <v>3.2040829999999998</v>
      </c>
      <c r="BB98" s="260">
        <v>3.2136529999999999</v>
      </c>
      <c r="BC98" s="260">
        <v>3.2232159999999999</v>
      </c>
      <c r="BD98" s="260">
        <v>3.2327710000000001</v>
      </c>
      <c r="BE98" s="260">
        <v>3.2423199999999999</v>
      </c>
      <c r="BF98" s="260">
        <v>3.251862</v>
      </c>
      <c r="BG98" s="260">
        <v>3.261396</v>
      </c>
      <c r="BH98" s="260">
        <v>3.2709229999999998</v>
      </c>
      <c r="BI98" s="260">
        <v>3.280443</v>
      </c>
      <c r="BJ98" s="260">
        <v>3.289955</v>
      </c>
      <c r="BK98" s="260">
        <v>3.2994589999999997</v>
      </c>
      <c r="BL98" s="260">
        <v>3.3089559999999998</v>
      </c>
      <c r="BM98" s="260">
        <v>3.3184449999999996</v>
      </c>
      <c r="BN98" s="260">
        <v>3.3279259999999997</v>
      </c>
      <c r="BO98" s="260">
        <v>3.337399</v>
      </c>
      <c r="BP98" s="260">
        <v>3.3468640000000001</v>
      </c>
      <c r="BQ98" s="260">
        <v>3.3563199999999997</v>
      </c>
      <c r="BR98" s="260">
        <v>3.3657689999999998</v>
      </c>
      <c r="BS98" s="260">
        <v>3.3752089999999999</v>
      </c>
      <c r="BT98" s="260">
        <v>3.3846409999999998</v>
      </c>
      <c r="BU98" s="260">
        <v>3.3940639999999997</v>
      </c>
      <c r="BV98" s="260">
        <v>3.4034789999999999</v>
      </c>
      <c r="BW98" s="260">
        <v>3.4128859999999999</v>
      </c>
      <c r="BX98" s="260">
        <v>3.4222829999999997</v>
      </c>
      <c r="BY98" s="260">
        <v>3.4316719999999998</v>
      </c>
      <c r="BZ98" s="260">
        <v>3.441052</v>
      </c>
      <c r="CA98" s="260">
        <v>3.4504229999999998</v>
      </c>
      <c r="CB98" s="260">
        <v>3.4597849999999997</v>
      </c>
      <c r="CC98" s="260">
        <v>3.4691380000000001</v>
      </c>
      <c r="CD98" s="260">
        <v>3.4784819999999996</v>
      </c>
      <c r="CE98" s="260">
        <v>3.4878169999999997</v>
      </c>
      <c r="CF98" s="260">
        <v>3.4971419999999998</v>
      </c>
      <c r="CG98" s="260">
        <v>3.5064579999999999</v>
      </c>
      <c r="CH98" s="260">
        <v>3.515765</v>
      </c>
    </row>
    <row r="99" spans="1:86" x14ac:dyDescent="0.25">
      <c r="A99" s="170">
        <v>1</v>
      </c>
      <c r="B99" s="170">
        <v>98</v>
      </c>
      <c r="C99" s="259">
        <v>2.4649410247802734</v>
      </c>
      <c r="D99" s="259">
        <v>2.4688200950622559</v>
      </c>
      <c r="E99" s="259">
        <v>2.4726901054382324</v>
      </c>
      <c r="F99" s="259">
        <v>2.4765529632568359</v>
      </c>
      <c r="G99" s="259">
        <v>2.4804079532623291</v>
      </c>
      <c r="H99" s="259">
        <v>2.4842550754547119</v>
      </c>
      <c r="I99" s="260">
        <v>2.5862769999999999</v>
      </c>
      <c r="J99" s="260">
        <v>2.5940059999999998</v>
      </c>
      <c r="K99" s="260">
        <v>2.6017769999999998</v>
      </c>
      <c r="L99" s="260">
        <v>2.6095889999999997</v>
      </c>
      <c r="M99" s="260">
        <v>2.6174409999999999</v>
      </c>
      <c r="N99" s="260">
        <v>2.6253299999999999</v>
      </c>
      <c r="O99" s="260">
        <v>2.6332549999999997</v>
      </c>
      <c r="P99" s="260">
        <v>2.6412109999999998</v>
      </c>
      <c r="Q99" s="260">
        <v>2.649194</v>
      </c>
      <c r="R99" s="260">
        <v>2.6571979999999997</v>
      </c>
      <c r="S99" s="260">
        <v>2.6652169999999997</v>
      </c>
      <c r="T99" s="260">
        <v>2.6732450000000001</v>
      </c>
      <c r="U99" s="260">
        <v>2.681276</v>
      </c>
      <c r="V99" s="260">
        <v>2.6893050000000001</v>
      </c>
      <c r="W99" s="260">
        <v>2.6973309999999997</v>
      </c>
      <c r="X99" s="260">
        <v>2.7053529999999997</v>
      </c>
      <c r="Y99" s="260">
        <v>2.713371</v>
      </c>
      <c r="Z99" s="260">
        <v>2.7213859999999999</v>
      </c>
      <c r="AA99" s="260">
        <v>2.7293970000000001</v>
      </c>
      <c r="AB99" s="260">
        <v>2.737403</v>
      </c>
      <c r="AC99" s="260">
        <v>2.745406</v>
      </c>
      <c r="AD99" s="260">
        <v>2.7534049999999999</v>
      </c>
      <c r="AE99" s="260">
        <v>2.7613989999999999</v>
      </c>
      <c r="AF99" s="260">
        <v>2.76939</v>
      </c>
      <c r="AG99" s="260">
        <v>2.7773759999999998</v>
      </c>
      <c r="AH99" s="260">
        <v>2.7853569999999999</v>
      </c>
      <c r="AI99" s="260">
        <v>2.7933349999999999</v>
      </c>
      <c r="AJ99" s="260">
        <v>2.8013079999999997</v>
      </c>
      <c r="AK99" s="260">
        <v>2.8092759999999997</v>
      </c>
      <c r="AL99" s="260">
        <v>2.81724</v>
      </c>
      <c r="AM99" s="260">
        <v>2.825199</v>
      </c>
      <c r="AN99" s="260">
        <v>2.8331529999999998</v>
      </c>
      <c r="AO99" s="260">
        <v>2.8411029999999999</v>
      </c>
      <c r="AP99" s="260">
        <v>2.8490479999999998</v>
      </c>
      <c r="AQ99" s="260">
        <v>2.8569879999999999</v>
      </c>
      <c r="AR99" s="260">
        <v>2.8649229999999997</v>
      </c>
      <c r="AS99" s="260">
        <v>2.872852</v>
      </c>
      <c r="AT99" s="260">
        <v>2.8807769999999997</v>
      </c>
      <c r="AU99" s="260">
        <v>2.8886970000000001</v>
      </c>
      <c r="AV99" s="260">
        <v>2.896611</v>
      </c>
      <c r="AW99" s="260">
        <v>2.9045199999999998</v>
      </c>
      <c r="AX99" s="260">
        <v>2.9124239999999997</v>
      </c>
      <c r="AY99" s="260">
        <v>2.9203229999999998</v>
      </c>
      <c r="AZ99" s="260">
        <v>2.9282159999999999</v>
      </c>
      <c r="BA99" s="260">
        <v>2.9361029999999997</v>
      </c>
      <c r="BB99" s="260">
        <v>2.9439850000000001</v>
      </c>
      <c r="BC99" s="260">
        <v>2.9518610000000001</v>
      </c>
      <c r="BD99" s="260">
        <v>2.9597319999999998</v>
      </c>
      <c r="BE99" s="260">
        <v>2.967597</v>
      </c>
      <c r="BF99" s="260">
        <v>2.9754559999999999</v>
      </c>
      <c r="BG99" s="260">
        <v>2.9833089999999998</v>
      </c>
      <c r="BH99" s="260">
        <v>2.9911559999999997</v>
      </c>
      <c r="BI99" s="260">
        <v>2.9989979999999998</v>
      </c>
      <c r="BJ99" s="260">
        <v>3.0068329999999999</v>
      </c>
      <c r="BK99" s="260">
        <v>3.014662</v>
      </c>
      <c r="BL99" s="260">
        <v>3.0224849999999996</v>
      </c>
      <c r="BM99" s="260">
        <v>3.0303019999999998</v>
      </c>
      <c r="BN99" s="260">
        <v>3.0381130000000001</v>
      </c>
      <c r="BO99" s="260">
        <v>3.0459179999999999</v>
      </c>
      <c r="BP99" s="260">
        <v>3.0537159999999997</v>
      </c>
      <c r="BQ99" s="260">
        <v>3.0615069999999998</v>
      </c>
      <c r="BR99" s="260">
        <v>3.069293</v>
      </c>
      <c r="BS99" s="260">
        <v>3.0770709999999997</v>
      </c>
      <c r="BT99" s="260">
        <v>3.0848439999999999</v>
      </c>
      <c r="BU99" s="260">
        <v>3.0926089999999999</v>
      </c>
      <c r="BV99" s="260">
        <v>3.100368</v>
      </c>
      <c r="BW99" s="260">
        <v>3.10812</v>
      </c>
      <c r="BX99" s="260">
        <v>3.115866</v>
      </c>
      <c r="BY99" s="260">
        <v>3.123605</v>
      </c>
      <c r="BZ99" s="260">
        <v>3.1313369999999998</v>
      </c>
      <c r="CA99" s="260">
        <v>3.139062</v>
      </c>
      <c r="CB99" s="260">
        <v>3.1467799999999997</v>
      </c>
      <c r="CC99" s="260">
        <v>3.1544909999999997</v>
      </c>
      <c r="CD99" s="260">
        <v>3.1621949999999996</v>
      </c>
      <c r="CE99" s="260">
        <v>3.1698919999999999</v>
      </c>
      <c r="CF99" s="260">
        <v>3.177581</v>
      </c>
      <c r="CG99" s="260">
        <v>3.1852639999999997</v>
      </c>
      <c r="CH99" s="260">
        <v>3.192939</v>
      </c>
    </row>
    <row r="100" spans="1:86" x14ac:dyDescent="0.25">
      <c r="A100" s="170">
        <v>1</v>
      </c>
      <c r="B100" s="170">
        <v>99</v>
      </c>
      <c r="C100" s="259">
        <v>2.3056130409240723</v>
      </c>
      <c r="D100" s="259">
        <v>2.3079180717468262</v>
      </c>
      <c r="E100" s="259">
        <v>2.310215950012207</v>
      </c>
      <c r="F100" s="259">
        <v>2.3125081062316895</v>
      </c>
      <c r="G100" s="259">
        <v>2.3147919178009033</v>
      </c>
      <c r="H100" s="259">
        <v>2.3170700073242188</v>
      </c>
      <c r="I100" s="260">
        <v>2.4049879999999999</v>
      </c>
      <c r="J100" s="260">
        <v>2.4111889999999998</v>
      </c>
      <c r="K100" s="260">
        <v>2.417421</v>
      </c>
      <c r="L100" s="260">
        <v>2.4236849999999999</v>
      </c>
      <c r="M100" s="260">
        <v>2.4299819999999999</v>
      </c>
      <c r="N100" s="260">
        <v>2.4363079999999999</v>
      </c>
      <c r="O100" s="260">
        <v>2.4426619999999999</v>
      </c>
      <c r="P100" s="260">
        <v>2.4490419999999999</v>
      </c>
      <c r="Q100" s="260">
        <v>2.4554429999999998</v>
      </c>
      <c r="R100" s="260">
        <v>2.4618609999999999</v>
      </c>
      <c r="S100" s="260">
        <v>2.4682919999999999</v>
      </c>
      <c r="T100" s="260">
        <v>2.4747300000000001</v>
      </c>
      <c r="U100" s="260">
        <v>2.4811700000000001</v>
      </c>
      <c r="V100" s="260">
        <v>2.4876079999999998</v>
      </c>
      <c r="W100" s="260">
        <v>2.494043</v>
      </c>
      <c r="X100" s="260">
        <v>2.5004740000000001</v>
      </c>
      <c r="Y100" s="260">
        <v>2.5069019999999997</v>
      </c>
      <c r="Z100" s="260">
        <v>2.5133269999999999</v>
      </c>
      <c r="AA100" s="260">
        <v>2.5197469999999997</v>
      </c>
      <c r="AB100" s="260">
        <v>2.5261640000000001</v>
      </c>
      <c r="AC100" s="260">
        <v>2.532578</v>
      </c>
      <c r="AD100" s="260">
        <v>2.5389879999999998</v>
      </c>
      <c r="AE100" s="260">
        <v>2.5453939999999999</v>
      </c>
      <c r="AF100" s="260">
        <v>2.551796</v>
      </c>
      <c r="AG100" s="260">
        <v>2.5581939999999999</v>
      </c>
      <c r="AH100" s="260">
        <v>2.5645889999999998</v>
      </c>
      <c r="AI100" s="260">
        <v>2.57098</v>
      </c>
      <c r="AJ100" s="260">
        <v>2.577366</v>
      </c>
      <c r="AK100" s="260">
        <v>2.5837490000000001</v>
      </c>
      <c r="AL100" s="260">
        <v>2.590128</v>
      </c>
      <c r="AM100" s="260">
        <v>2.5965029999999998</v>
      </c>
      <c r="AN100" s="260">
        <v>2.6028739999999999</v>
      </c>
      <c r="AO100" s="260">
        <v>2.6092399999999998</v>
      </c>
      <c r="AP100" s="260">
        <v>2.6156029999999997</v>
      </c>
      <c r="AQ100" s="260">
        <v>2.6219609999999998</v>
      </c>
      <c r="AR100" s="260">
        <v>2.6283149999999997</v>
      </c>
      <c r="AS100" s="260">
        <v>2.634665</v>
      </c>
      <c r="AT100" s="260">
        <v>2.6410109999999998</v>
      </c>
      <c r="AU100" s="260">
        <v>2.6473519999999997</v>
      </c>
      <c r="AV100" s="260">
        <v>2.653689</v>
      </c>
      <c r="AW100" s="260">
        <v>2.6600219999999997</v>
      </c>
      <c r="AX100" s="260">
        <v>2.66635</v>
      </c>
      <c r="AY100" s="260">
        <v>2.6726739999999998</v>
      </c>
      <c r="AZ100" s="260">
        <v>2.6789929999999997</v>
      </c>
      <c r="BA100" s="260">
        <v>2.6853069999999999</v>
      </c>
      <c r="BB100" s="260">
        <v>2.6916180000000001</v>
      </c>
      <c r="BC100" s="260">
        <v>2.6979229999999998</v>
      </c>
      <c r="BD100" s="260">
        <v>2.704224</v>
      </c>
      <c r="BE100" s="260">
        <v>2.7105199999999998</v>
      </c>
      <c r="BF100" s="260">
        <v>2.716812</v>
      </c>
      <c r="BG100" s="260">
        <v>2.7230989999999999</v>
      </c>
      <c r="BH100" s="260">
        <v>2.7293810000000001</v>
      </c>
      <c r="BI100" s="260">
        <v>2.7356579999999999</v>
      </c>
      <c r="BJ100" s="260">
        <v>2.7419309999999997</v>
      </c>
      <c r="BK100" s="260">
        <v>2.7481979999999999</v>
      </c>
      <c r="BL100" s="260">
        <v>2.754461</v>
      </c>
      <c r="BM100" s="260">
        <v>2.7607189999999999</v>
      </c>
      <c r="BN100" s="260">
        <v>2.766972</v>
      </c>
      <c r="BO100" s="260">
        <v>2.7732199999999998</v>
      </c>
      <c r="BP100" s="260">
        <v>2.7794629999999998</v>
      </c>
      <c r="BQ100" s="260">
        <v>2.785701</v>
      </c>
      <c r="BR100" s="260">
        <v>2.7919339999999999</v>
      </c>
      <c r="BS100" s="260">
        <v>2.7981609999999999</v>
      </c>
      <c r="BT100" s="260">
        <v>2.8043839999999998</v>
      </c>
      <c r="BU100" s="260">
        <v>2.8106019999999998</v>
      </c>
      <c r="BV100" s="260">
        <v>2.8168139999999999</v>
      </c>
      <c r="BW100" s="260">
        <v>2.8230209999999998</v>
      </c>
      <c r="BX100" s="260">
        <v>2.8292229999999998</v>
      </c>
      <c r="BY100" s="260">
        <v>2.8354200000000001</v>
      </c>
      <c r="BZ100" s="260">
        <v>2.8416109999999999</v>
      </c>
      <c r="CA100" s="260">
        <v>2.8477969999999999</v>
      </c>
      <c r="CB100" s="260">
        <v>2.8539779999999997</v>
      </c>
      <c r="CC100" s="260">
        <v>2.8601529999999999</v>
      </c>
      <c r="CD100" s="260">
        <v>2.866323</v>
      </c>
      <c r="CE100" s="260">
        <v>2.872487</v>
      </c>
      <c r="CF100" s="260">
        <v>2.8786459999999998</v>
      </c>
      <c r="CG100" s="260">
        <v>2.8847999999999998</v>
      </c>
      <c r="CH100" s="260">
        <v>2.8909479999999999</v>
      </c>
    </row>
    <row r="101" spans="1:86" x14ac:dyDescent="0.25">
      <c r="A101" s="170">
        <v>1</v>
      </c>
      <c r="B101" s="170">
        <v>100</v>
      </c>
      <c r="C101" s="259">
        <v>2.1527960300445557</v>
      </c>
      <c r="D101" s="259">
        <v>2.1527960300445557</v>
      </c>
      <c r="E101" s="259">
        <v>2.1527960300445557</v>
      </c>
      <c r="F101" s="259">
        <v>2.1527960300445557</v>
      </c>
      <c r="G101" s="259">
        <v>2.1527960300445557</v>
      </c>
      <c r="H101" s="259">
        <v>2.1527960300445557</v>
      </c>
      <c r="I101" s="260">
        <v>2.2351839999999998</v>
      </c>
      <c r="J101" s="260">
        <v>2.239973</v>
      </c>
      <c r="K101" s="260">
        <v>2.2447859999999999</v>
      </c>
      <c r="L101" s="260">
        <v>2.2496239999999998</v>
      </c>
      <c r="M101" s="260">
        <v>2.254486</v>
      </c>
      <c r="N101" s="260">
        <v>2.2593709999999998</v>
      </c>
      <c r="O101" s="260">
        <v>2.2642769999999999</v>
      </c>
      <c r="P101" s="260">
        <v>2.2692030000000001</v>
      </c>
      <c r="Q101" s="260">
        <v>2.2741449999999999</v>
      </c>
      <c r="R101" s="260">
        <v>2.2791009999999998</v>
      </c>
      <c r="S101" s="260">
        <v>2.2840669999999998</v>
      </c>
      <c r="T101" s="260">
        <v>2.289037</v>
      </c>
      <c r="U101" s="260">
        <v>2.2940100000000001</v>
      </c>
      <c r="V101" s="260">
        <v>2.2989809999999999</v>
      </c>
      <c r="W101" s="260">
        <v>2.3039489999999998</v>
      </c>
      <c r="X101" s="260">
        <v>2.308913</v>
      </c>
      <c r="Y101" s="260">
        <v>2.3138749999999999</v>
      </c>
      <c r="Z101" s="260">
        <v>2.3188329999999997</v>
      </c>
      <c r="AA101" s="260">
        <v>2.323788</v>
      </c>
      <c r="AB101" s="260">
        <v>2.3287399999999998</v>
      </c>
      <c r="AC101" s="260">
        <v>2.3336889999999997</v>
      </c>
      <c r="AD101" s="260">
        <v>2.3386339999999999</v>
      </c>
      <c r="AE101" s="260">
        <v>2.3435760000000001</v>
      </c>
      <c r="AF101" s="260">
        <v>2.3485149999999999</v>
      </c>
      <c r="AG101" s="260">
        <v>2.3534509999999997</v>
      </c>
      <c r="AH101" s="260">
        <v>2.3583829999999999</v>
      </c>
      <c r="AI101" s="260">
        <v>2.3633120000000001</v>
      </c>
      <c r="AJ101" s="260">
        <v>2.3682379999999998</v>
      </c>
      <c r="AK101" s="260">
        <v>2.3731599999999999</v>
      </c>
      <c r="AL101" s="260">
        <v>2.3780779999999999</v>
      </c>
      <c r="AM101" s="260">
        <v>2.3829940000000001</v>
      </c>
      <c r="AN101" s="260">
        <v>2.3879060000000001</v>
      </c>
      <c r="AO101" s="260">
        <v>2.392814</v>
      </c>
      <c r="AP101" s="260">
        <v>2.3977189999999999</v>
      </c>
      <c r="AQ101" s="260">
        <v>2.4026209999999999</v>
      </c>
      <c r="AR101" s="260">
        <v>2.4075189999999997</v>
      </c>
      <c r="AS101" s="260">
        <v>2.4124129999999999</v>
      </c>
      <c r="AT101" s="260">
        <v>2.4173039999999997</v>
      </c>
      <c r="AU101" s="260">
        <v>2.4221919999999999</v>
      </c>
      <c r="AV101" s="260">
        <v>2.427076</v>
      </c>
      <c r="AW101" s="260">
        <v>2.431956</v>
      </c>
      <c r="AX101" s="260">
        <v>2.436833</v>
      </c>
      <c r="AY101" s="260">
        <v>2.4417059999999999</v>
      </c>
      <c r="AZ101" s="260">
        <v>2.4465749999999997</v>
      </c>
      <c r="BA101" s="260">
        <v>2.451441</v>
      </c>
      <c r="BB101" s="260">
        <v>2.4563029999999997</v>
      </c>
      <c r="BC101" s="260">
        <v>2.4611609999999997</v>
      </c>
      <c r="BD101" s="260">
        <v>2.4660159999999998</v>
      </c>
      <c r="BE101" s="260">
        <v>2.4708669999999997</v>
      </c>
      <c r="BF101" s="260">
        <v>2.475714</v>
      </c>
      <c r="BG101" s="260">
        <v>2.4805579999999998</v>
      </c>
      <c r="BH101" s="260">
        <v>2.485398</v>
      </c>
      <c r="BI101" s="260">
        <v>2.4902340000000001</v>
      </c>
      <c r="BJ101" s="260">
        <v>2.495066</v>
      </c>
      <c r="BK101" s="260">
        <v>2.4998939999999998</v>
      </c>
      <c r="BL101" s="260">
        <v>2.504718</v>
      </c>
      <c r="BM101" s="260">
        <v>2.5095389999999997</v>
      </c>
      <c r="BN101" s="260">
        <v>2.5143559999999998</v>
      </c>
      <c r="BO101" s="260">
        <v>2.5191689999999998</v>
      </c>
      <c r="BP101" s="260">
        <v>2.5239780000000001</v>
      </c>
      <c r="BQ101" s="260">
        <v>2.5287829999999998</v>
      </c>
      <c r="BR101" s="260">
        <v>2.5335839999999998</v>
      </c>
      <c r="BS101" s="260">
        <v>2.5383809999999998</v>
      </c>
      <c r="BT101" s="260">
        <v>2.5431749999999997</v>
      </c>
      <c r="BU101" s="260">
        <v>2.5479639999999999</v>
      </c>
      <c r="BV101" s="260">
        <v>2.5527489999999999</v>
      </c>
      <c r="BW101" s="260">
        <v>2.557531</v>
      </c>
      <c r="BX101" s="260">
        <v>2.5623079999999998</v>
      </c>
      <c r="BY101" s="260">
        <v>2.5670809999999999</v>
      </c>
      <c r="BZ101" s="260">
        <v>2.5718509999999997</v>
      </c>
      <c r="CA101" s="260">
        <v>2.576616</v>
      </c>
      <c r="CB101" s="260">
        <v>2.5813769999999998</v>
      </c>
      <c r="CC101" s="260">
        <v>2.5861339999999999</v>
      </c>
      <c r="CD101" s="260">
        <v>2.5908869999999999</v>
      </c>
      <c r="CE101" s="260">
        <v>2.5956359999999998</v>
      </c>
      <c r="CF101" s="260">
        <v>2.6003810000000001</v>
      </c>
      <c r="CG101" s="260">
        <v>2.6051219999999997</v>
      </c>
      <c r="CH101" s="260">
        <v>2.609858</v>
      </c>
    </row>
    <row r="102" spans="1:86" x14ac:dyDescent="0.25">
      <c r="A102" s="170">
        <v>1</v>
      </c>
      <c r="B102" s="170">
        <v>101</v>
      </c>
      <c r="C102" s="259">
        <v>2.0257830619812012</v>
      </c>
      <c r="D102" s="259">
        <v>2.0257830619812012</v>
      </c>
      <c r="E102" s="259">
        <v>2.0257830619812012</v>
      </c>
      <c r="F102" s="259">
        <v>2.0257830619812012</v>
      </c>
      <c r="G102" s="259">
        <v>2.0257830619812012</v>
      </c>
      <c r="H102" s="259">
        <v>2.0257830619812012</v>
      </c>
      <c r="I102" s="260">
        <v>2.0763789999999998</v>
      </c>
      <c r="J102" s="260">
        <v>2.079879</v>
      </c>
      <c r="K102" s="260">
        <v>2.083396</v>
      </c>
      <c r="L102" s="260">
        <v>2.0869309999999999</v>
      </c>
      <c r="M102" s="260">
        <v>2.0904829999999999</v>
      </c>
      <c r="N102" s="260">
        <v>2.094052</v>
      </c>
      <c r="O102" s="260">
        <v>2.0976360000000001</v>
      </c>
      <c r="P102" s="260">
        <v>2.1012339999999998</v>
      </c>
      <c r="Q102" s="260">
        <v>2.1048450000000001</v>
      </c>
      <c r="R102" s="260">
        <v>2.1084649999999998</v>
      </c>
      <c r="S102" s="260">
        <v>2.1120939999999999</v>
      </c>
      <c r="T102" s="260">
        <v>2.115726</v>
      </c>
      <c r="U102" s="260">
        <v>2.1193589999999998</v>
      </c>
      <c r="V102" s="260">
        <v>2.1229909999999999</v>
      </c>
      <c r="W102" s="260">
        <v>2.12662</v>
      </c>
      <c r="X102" s="260">
        <v>2.1302469999999998</v>
      </c>
      <c r="Y102" s="260">
        <v>2.1338710000000001</v>
      </c>
      <c r="Z102" s="260">
        <v>2.1374930000000001</v>
      </c>
      <c r="AA102" s="260">
        <v>2.141111</v>
      </c>
      <c r="AB102" s="260">
        <v>2.1447279999999997</v>
      </c>
      <c r="AC102" s="260">
        <v>2.1483409999999998</v>
      </c>
      <c r="AD102" s="260">
        <v>2.1519520000000001</v>
      </c>
      <c r="AE102" s="260">
        <v>2.1555599999999999</v>
      </c>
      <c r="AF102" s="260">
        <v>2.1591659999999999</v>
      </c>
      <c r="AG102" s="260">
        <v>2.1627689999999999</v>
      </c>
      <c r="AH102" s="260">
        <v>2.166369</v>
      </c>
      <c r="AI102" s="260">
        <v>2.1699669999999998</v>
      </c>
      <c r="AJ102" s="260">
        <v>2.1735609999999999</v>
      </c>
      <c r="AK102" s="260">
        <v>2.1771539999999998</v>
      </c>
      <c r="AL102" s="260">
        <v>2.1807430000000001</v>
      </c>
      <c r="AM102" s="260">
        <v>2.1843300000000001</v>
      </c>
      <c r="AN102" s="260">
        <v>2.1879139999999997</v>
      </c>
      <c r="AO102" s="260">
        <v>2.1914949999999997</v>
      </c>
      <c r="AP102" s="260">
        <v>2.1950729999999998</v>
      </c>
      <c r="AQ102" s="260">
        <v>2.1986490000000001</v>
      </c>
      <c r="AR102" s="260">
        <v>2.2022219999999999</v>
      </c>
      <c r="AS102" s="260">
        <v>2.2057919999999998</v>
      </c>
      <c r="AT102" s="260">
        <v>2.2093599999999998</v>
      </c>
      <c r="AU102" s="260">
        <v>2.2129240000000001</v>
      </c>
      <c r="AV102" s="260">
        <v>2.2164859999999997</v>
      </c>
      <c r="AW102" s="260">
        <v>2.2200449999999998</v>
      </c>
      <c r="AX102" s="260">
        <v>2.2236020000000001</v>
      </c>
      <c r="AY102" s="260">
        <v>2.2271549999999998</v>
      </c>
      <c r="AZ102" s="260">
        <v>2.2307060000000001</v>
      </c>
      <c r="BA102" s="260">
        <v>2.234254</v>
      </c>
      <c r="BB102" s="260">
        <v>2.2377989999999999</v>
      </c>
      <c r="BC102" s="260">
        <v>2.2413409999999998</v>
      </c>
      <c r="BD102" s="260">
        <v>2.2448809999999999</v>
      </c>
      <c r="BE102" s="260">
        <v>2.2484169999999999</v>
      </c>
      <c r="BF102" s="260">
        <v>2.251951</v>
      </c>
      <c r="BG102" s="260">
        <v>2.2554819999999998</v>
      </c>
      <c r="BH102" s="260">
        <v>2.25901</v>
      </c>
      <c r="BI102" s="260">
        <v>2.2625349999999997</v>
      </c>
      <c r="BJ102" s="260">
        <v>2.266057</v>
      </c>
      <c r="BK102" s="260">
        <v>2.269577</v>
      </c>
      <c r="BL102" s="260">
        <v>2.2730929999999998</v>
      </c>
      <c r="BM102" s="260">
        <v>2.2766069999999998</v>
      </c>
      <c r="BN102" s="260">
        <v>2.2801179999999999</v>
      </c>
      <c r="BO102" s="260">
        <v>2.2836259999999999</v>
      </c>
      <c r="BP102" s="260">
        <v>2.287131</v>
      </c>
      <c r="BQ102" s="260">
        <v>2.2906329999999997</v>
      </c>
      <c r="BR102" s="260">
        <v>2.2941319999999998</v>
      </c>
      <c r="BS102" s="260">
        <v>2.297628</v>
      </c>
      <c r="BT102" s="260">
        <v>2.3011219999999999</v>
      </c>
      <c r="BU102" s="260">
        <v>2.3046120000000001</v>
      </c>
      <c r="BV102" s="260">
        <v>2.3080989999999999</v>
      </c>
      <c r="BW102" s="260">
        <v>2.3115839999999999</v>
      </c>
      <c r="BX102" s="260">
        <v>2.3150659999999998</v>
      </c>
      <c r="BY102" s="260">
        <v>2.3185439999999997</v>
      </c>
      <c r="BZ102" s="260">
        <v>2.3220199999999998</v>
      </c>
      <c r="CA102" s="260">
        <v>2.3254929999999998</v>
      </c>
      <c r="CB102" s="260">
        <v>2.3289619999999998</v>
      </c>
      <c r="CC102" s="260">
        <v>2.3324289999999999</v>
      </c>
      <c r="CD102" s="260">
        <v>2.335893</v>
      </c>
      <c r="CE102" s="260">
        <v>2.3393539999999997</v>
      </c>
      <c r="CF102" s="260">
        <v>2.3428119999999999</v>
      </c>
      <c r="CG102" s="260">
        <v>2.3462670000000001</v>
      </c>
      <c r="CH102" s="260">
        <v>2.3497189999999999</v>
      </c>
    </row>
    <row r="103" spans="1:86" x14ac:dyDescent="0.25">
      <c r="A103" s="170">
        <v>1</v>
      </c>
      <c r="B103" s="170">
        <v>102</v>
      </c>
      <c r="C103" s="259">
        <v>1.9074109792709351</v>
      </c>
      <c r="D103" s="259">
        <v>1.9074109792709351</v>
      </c>
      <c r="E103" s="259">
        <v>1.9074109792709351</v>
      </c>
      <c r="F103" s="259">
        <v>1.9074109792709351</v>
      </c>
      <c r="G103" s="259">
        <v>1.9074109792709351</v>
      </c>
      <c r="H103" s="259">
        <v>1.9074109792709351</v>
      </c>
      <c r="I103" s="260">
        <v>1.9280599999999999</v>
      </c>
      <c r="J103" s="260">
        <v>1.9304009999999998</v>
      </c>
      <c r="K103" s="260">
        <v>1.9327539999999999</v>
      </c>
      <c r="L103" s="260">
        <v>1.9351189999999998</v>
      </c>
      <c r="M103" s="260">
        <v>1.9374939999999998</v>
      </c>
      <c r="N103" s="260">
        <v>1.939881</v>
      </c>
      <c r="O103" s="260">
        <v>1.9422779999999999</v>
      </c>
      <c r="P103" s="260">
        <v>1.944685</v>
      </c>
      <c r="Q103" s="260">
        <v>1.9470999999999998</v>
      </c>
      <c r="R103" s="260">
        <v>1.949522</v>
      </c>
      <c r="S103" s="260">
        <v>1.9519489999999999</v>
      </c>
      <c r="T103" s="260">
        <v>1.95438</v>
      </c>
      <c r="U103" s="260">
        <v>1.9568109999999999</v>
      </c>
      <c r="V103" s="260">
        <v>1.9592399999999999</v>
      </c>
      <c r="W103" s="260">
        <v>1.961668</v>
      </c>
      <c r="X103" s="260">
        <v>1.964094</v>
      </c>
      <c r="Y103" s="260">
        <v>1.966518</v>
      </c>
      <c r="Z103" s="260">
        <v>1.9689399999999999</v>
      </c>
      <c r="AA103" s="260">
        <v>1.9713609999999999</v>
      </c>
      <c r="AB103" s="260">
        <v>1.973779</v>
      </c>
      <c r="AC103" s="260">
        <v>1.9761959999999998</v>
      </c>
      <c r="AD103" s="260">
        <v>1.97861</v>
      </c>
      <c r="AE103" s="260">
        <v>1.981023</v>
      </c>
      <c r="AF103" s="260">
        <v>1.983433</v>
      </c>
      <c r="AG103" s="260">
        <v>1.9858419999999999</v>
      </c>
      <c r="AH103" s="260">
        <v>1.9882489999999999</v>
      </c>
      <c r="AI103" s="260">
        <v>1.9906539999999999</v>
      </c>
      <c r="AJ103" s="260">
        <v>1.9930569999999999</v>
      </c>
      <c r="AK103" s="260">
        <v>1.995458</v>
      </c>
      <c r="AL103" s="260">
        <v>1.997857</v>
      </c>
      <c r="AM103" s="260">
        <v>2.000254</v>
      </c>
      <c r="AN103" s="260">
        <v>2.00265</v>
      </c>
      <c r="AO103" s="260">
        <v>2.0050430000000001</v>
      </c>
      <c r="AP103" s="260">
        <v>2.0074339999999999</v>
      </c>
      <c r="AQ103" s="260">
        <v>2.0098240000000001</v>
      </c>
      <c r="AR103" s="260">
        <v>2.0122109999999997</v>
      </c>
      <c r="AS103" s="260">
        <v>2.0145969999999997</v>
      </c>
      <c r="AT103" s="260">
        <v>2.0169809999999999</v>
      </c>
      <c r="AU103" s="260">
        <v>2.0193629999999998</v>
      </c>
      <c r="AV103" s="260">
        <v>2.0217419999999997</v>
      </c>
      <c r="AW103" s="260">
        <v>2.0241199999999999</v>
      </c>
      <c r="AX103" s="260">
        <v>2.0264959999999999</v>
      </c>
      <c r="AY103" s="260">
        <v>2.02887</v>
      </c>
      <c r="AZ103" s="260">
        <v>2.0312419999999998</v>
      </c>
      <c r="BA103" s="260">
        <v>2.0336119999999998</v>
      </c>
      <c r="BB103" s="260">
        <v>2.035981</v>
      </c>
      <c r="BC103" s="260">
        <v>2.0383469999999999</v>
      </c>
      <c r="BD103" s="260">
        <v>2.0407109999999999</v>
      </c>
      <c r="BE103" s="260">
        <v>2.0430739999999998</v>
      </c>
      <c r="BF103" s="260">
        <v>2.0454339999999998</v>
      </c>
      <c r="BG103" s="260">
        <v>2.0477919999999998</v>
      </c>
      <c r="BH103" s="260">
        <v>2.0501489999999998</v>
      </c>
      <c r="BI103" s="260">
        <v>2.0525029999999997</v>
      </c>
      <c r="BJ103" s="260">
        <v>2.054856</v>
      </c>
      <c r="BK103" s="260">
        <v>2.057207</v>
      </c>
      <c r="BL103" s="260">
        <v>2.059555</v>
      </c>
      <c r="BM103" s="260">
        <v>2.0619019999999999</v>
      </c>
      <c r="BN103" s="260">
        <v>2.0642469999999999</v>
      </c>
      <c r="BO103" s="260">
        <v>2.0665899999999997</v>
      </c>
      <c r="BP103" s="260">
        <v>2.0689310000000001</v>
      </c>
      <c r="BQ103" s="260">
        <v>2.0712699999999997</v>
      </c>
      <c r="BR103" s="260">
        <v>2.073607</v>
      </c>
      <c r="BS103" s="260">
        <v>2.075942</v>
      </c>
      <c r="BT103" s="260">
        <v>2.0782750000000001</v>
      </c>
      <c r="BU103" s="260">
        <v>2.080606</v>
      </c>
      <c r="BV103" s="260">
        <v>2.082935</v>
      </c>
      <c r="BW103" s="260">
        <v>2.0852619999999997</v>
      </c>
      <c r="BX103" s="260">
        <v>2.0875870000000001</v>
      </c>
      <c r="BY103" s="260">
        <v>2.0899099999999997</v>
      </c>
      <c r="BZ103" s="260">
        <v>2.0922320000000001</v>
      </c>
      <c r="CA103" s="260">
        <v>2.0945510000000001</v>
      </c>
      <c r="CB103" s="260">
        <v>2.0968679999999997</v>
      </c>
      <c r="CC103" s="260">
        <v>2.0991839999999997</v>
      </c>
      <c r="CD103" s="260">
        <v>2.1014969999999997</v>
      </c>
      <c r="CE103" s="260">
        <v>2.1038079999999999</v>
      </c>
      <c r="CF103" s="260">
        <v>2.1061179999999999</v>
      </c>
      <c r="CG103" s="260">
        <v>2.108425</v>
      </c>
      <c r="CH103" s="260">
        <v>2.1107309999999999</v>
      </c>
    </row>
    <row r="104" spans="1:86" x14ac:dyDescent="0.25">
      <c r="A104" s="170">
        <v>1</v>
      </c>
      <c r="B104" s="170">
        <v>103</v>
      </c>
      <c r="C104" s="259">
        <v>1.7966129779815674</v>
      </c>
      <c r="D104" s="259">
        <v>1.7966129779815674</v>
      </c>
      <c r="E104" s="259">
        <v>1.7966129779815674</v>
      </c>
      <c r="F104" s="259">
        <v>1.7966129779815674</v>
      </c>
      <c r="G104" s="259">
        <v>1.7966129779815674</v>
      </c>
      <c r="H104" s="259">
        <v>1.7966129779815674</v>
      </c>
      <c r="I104" s="260">
        <v>1.7896429999999999</v>
      </c>
      <c r="J104" s="260">
        <v>1.7909759999999999</v>
      </c>
      <c r="K104" s="260">
        <v>1.792316</v>
      </c>
      <c r="L104" s="260">
        <v>1.7936619999999999</v>
      </c>
      <c r="M104" s="260">
        <v>1.795015</v>
      </c>
      <c r="N104" s="260">
        <v>1.7963739999999999</v>
      </c>
      <c r="O104" s="260">
        <v>1.7977399999999999</v>
      </c>
      <c r="P104" s="260">
        <v>1.7991109999999999</v>
      </c>
      <c r="Q104" s="260">
        <v>1.8004869999999999</v>
      </c>
      <c r="R104" s="260">
        <v>1.801866</v>
      </c>
      <c r="S104" s="260">
        <v>1.8032489999999999</v>
      </c>
      <c r="T104" s="260">
        <v>1.8046339999999998</v>
      </c>
      <c r="U104" s="260">
        <v>1.80602</v>
      </c>
      <c r="V104" s="260">
        <v>1.8074049999999999</v>
      </c>
      <c r="W104" s="260">
        <v>1.808789</v>
      </c>
      <c r="X104" s="260">
        <v>1.810171</v>
      </c>
      <c r="Y104" s="260">
        <v>1.811553</v>
      </c>
      <c r="Z104" s="260">
        <v>1.8129339999999998</v>
      </c>
      <c r="AA104" s="260">
        <v>1.8143129999999998</v>
      </c>
      <c r="AB104" s="260">
        <v>1.8156909999999999</v>
      </c>
      <c r="AC104" s="260">
        <v>1.8170689999999998</v>
      </c>
      <c r="AD104" s="260">
        <v>1.8184449999999999</v>
      </c>
      <c r="AE104" s="260">
        <v>1.81982</v>
      </c>
      <c r="AF104" s="260">
        <v>1.821194</v>
      </c>
      <c r="AG104" s="260">
        <v>1.8225669999999998</v>
      </c>
      <c r="AH104" s="260">
        <v>1.823939</v>
      </c>
      <c r="AI104" s="260">
        <v>1.82531</v>
      </c>
      <c r="AJ104" s="260">
        <v>1.8266789999999999</v>
      </c>
      <c r="AK104" s="260">
        <v>1.8280479999999999</v>
      </c>
      <c r="AL104" s="260">
        <v>1.8294159999999999</v>
      </c>
      <c r="AM104" s="260">
        <v>1.8307819999999999</v>
      </c>
      <c r="AN104" s="260">
        <v>1.832147</v>
      </c>
      <c r="AO104" s="260">
        <v>1.8335119999999998</v>
      </c>
      <c r="AP104" s="260">
        <v>1.8348749999999998</v>
      </c>
      <c r="AQ104" s="260">
        <v>1.8362369999999999</v>
      </c>
      <c r="AR104" s="260">
        <v>1.8375979999999998</v>
      </c>
      <c r="AS104" s="260">
        <v>1.8389579999999999</v>
      </c>
      <c r="AT104" s="260">
        <v>1.840317</v>
      </c>
      <c r="AU104" s="260">
        <v>1.8416739999999998</v>
      </c>
      <c r="AV104" s="260">
        <v>1.8430309999999999</v>
      </c>
      <c r="AW104" s="260">
        <v>1.844387</v>
      </c>
      <c r="AX104" s="260">
        <v>1.8457409999999999</v>
      </c>
      <c r="AY104" s="260">
        <v>1.8470949999999999</v>
      </c>
      <c r="AZ104" s="260">
        <v>1.848447</v>
      </c>
      <c r="BA104" s="260">
        <v>1.8497979999999998</v>
      </c>
      <c r="BB104" s="260">
        <v>1.8511489999999999</v>
      </c>
      <c r="BC104" s="260">
        <v>1.852498</v>
      </c>
      <c r="BD104" s="260">
        <v>1.8538459999999999</v>
      </c>
      <c r="BE104" s="260">
        <v>1.8551929999999999</v>
      </c>
      <c r="BF104" s="260">
        <v>1.8565389999999999</v>
      </c>
      <c r="BG104" s="260">
        <v>1.8578839999999999</v>
      </c>
      <c r="BH104" s="260">
        <v>1.859227</v>
      </c>
      <c r="BI104" s="260">
        <v>1.8605699999999998</v>
      </c>
      <c r="BJ104" s="260">
        <v>1.861912</v>
      </c>
      <c r="BK104" s="260">
        <v>1.8632519999999999</v>
      </c>
      <c r="BL104" s="260">
        <v>1.8645919999999998</v>
      </c>
      <c r="BM104" s="260">
        <v>1.8659299999999999</v>
      </c>
      <c r="BN104" s="260">
        <v>1.867267</v>
      </c>
      <c r="BO104" s="260">
        <v>1.8686039999999999</v>
      </c>
      <c r="BP104" s="260">
        <v>1.869939</v>
      </c>
      <c r="BQ104" s="260">
        <v>1.871273</v>
      </c>
      <c r="BR104" s="260">
        <v>1.872606</v>
      </c>
      <c r="BS104" s="260">
        <v>1.8739379999999999</v>
      </c>
      <c r="BT104" s="260">
        <v>1.8752689999999999</v>
      </c>
      <c r="BU104" s="260">
        <v>1.8765989999999999</v>
      </c>
      <c r="BV104" s="260">
        <v>1.8779269999999999</v>
      </c>
      <c r="BW104" s="260">
        <v>1.8792549999999999</v>
      </c>
      <c r="BX104" s="260">
        <v>1.880582</v>
      </c>
      <c r="BY104" s="260">
        <v>1.881907</v>
      </c>
      <c r="BZ104" s="260">
        <v>1.883232</v>
      </c>
      <c r="CA104" s="260">
        <v>1.884555</v>
      </c>
      <c r="CB104" s="260">
        <v>1.8858779999999999</v>
      </c>
      <c r="CC104" s="260">
        <v>1.8871989999999998</v>
      </c>
      <c r="CD104" s="260">
        <v>1.8885189999999998</v>
      </c>
      <c r="CE104" s="260">
        <v>1.8898379999999999</v>
      </c>
      <c r="CF104" s="260">
        <v>1.8911559999999998</v>
      </c>
      <c r="CG104" s="260">
        <v>1.8924729999999998</v>
      </c>
      <c r="CH104" s="260">
        <v>1.8937889999999999</v>
      </c>
    </row>
    <row r="105" spans="1:86" x14ac:dyDescent="0.25">
      <c r="A105" s="170">
        <v>1</v>
      </c>
      <c r="B105" s="170">
        <v>104</v>
      </c>
      <c r="C105" s="259">
        <v>1.6918400526046753</v>
      </c>
      <c r="D105" s="259">
        <v>1.6918400526046753</v>
      </c>
      <c r="E105" s="259">
        <v>1.6918400526046753</v>
      </c>
      <c r="F105" s="259">
        <v>1.6918400526046753</v>
      </c>
      <c r="G105" s="259">
        <v>1.6918400526046753</v>
      </c>
      <c r="H105" s="259">
        <v>1.6918400526046753</v>
      </c>
      <c r="I105" s="260">
        <v>1.660393</v>
      </c>
      <c r="J105" s="260">
        <v>1.6609129999999999</v>
      </c>
      <c r="K105" s="260">
        <v>1.6614359999999999</v>
      </c>
      <c r="L105" s="260">
        <v>1.6619599999999999</v>
      </c>
      <c r="M105" s="260">
        <v>1.662488</v>
      </c>
      <c r="N105" s="260">
        <v>1.6630179999999999</v>
      </c>
      <c r="O105" s="260">
        <v>1.663551</v>
      </c>
      <c r="P105" s="260">
        <v>1.664086</v>
      </c>
      <c r="Q105" s="260">
        <v>1.664623</v>
      </c>
      <c r="R105" s="260">
        <v>1.665162</v>
      </c>
      <c r="S105" s="260">
        <v>1.665702</v>
      </c>
      <c r="T105" s="260">
        <v>1.6662429999999999</v>
      </c>
      <c r="U105" s="260">
        <v>1.6667839999999998</v>
      </c>
      <c r="V105" s="260">
        <v>1.6673259999999999</v>
      </c>
      <c r="W105" s="260">
        <v>1.667867</v>
      </c>
      <c r="X105" s="260">
        <v>1.6684079999999999</v>
      </c>
      <c r="Y105" s="260">
        <v>1.668949</v>
      </c>
      <c r="Z105" s="260">
        <v>1.669489</v>
      </c>
      <c r="AA105" s="260">
        <v>1.670029</v>
      </c>
      <c r="AB105" s="260">
        <v>1.670569</v>
      </c>
      <c r="AC105" s="260">
        <v>1.6711079999999998</v>
      </c>
      <c r="AD105" s="260">
        <v>1.6716469999999999</v>
      </c>
      <c r="AE105" s="260">
        <v>1.672185</v>
      </c>
      <c r="AF105" s="260">
        <v>1.672723</v>
      </c>
      <c r="AG105" s="260">
        <v>1.6732609999999999</v>
      </c>
      <c r="AH105" s="260">
        <v>1.6737979999999999</v>
      </c>
      <c r="AI105" s="260">
        <v>1.6743359999999998</v>
      </c>
      <c r="AJ105" s="260">
        <v>1.6748719999999999</v>
      </c>
      <c r="AK105" s="260">
        <v>1.6754089999999999</v>
      </c>
      <c r="AL105" s="260">
        <v>1.6759439999999999</v>
      </c>
      <c r="AM105" s="260">
        <v>1.67648</v>
      </c>
      <c r="AN105" s="260">
        <v>1.6770149999999999</v>
      </c>
      <c r="AO105" s="260">
        <v>1.6775499999999999</v>
      </c>
      <c r="AP105" s="260">
        <v>1.6780849999999998</v>
      </c>
      <c r="AQ105" s="260">
        <v>1.6786189999999999</v>
      </c>
      <c r="AR105" s="260">
        <v>1.6791529999999999</v>
      </c>
      <c r="AS105" s="260">
        <v>1.679686</v>
      </c>
      <c r="AT105" s="260">
        <v>1.6802189999999999</v>
      </c>
      <c r="AU105" s="260">
        <v>1.680752</v>
      </c>
      <c r="AV105" s="260">
        <v>1.681284</v>
      </c>
      <c r="AW105" s="260">
        <v>1.6818169999999999</v>
      </c>
      <c r="AX105" s="260">
        <v>1.682348</v>
      </c>
      <c r="AY105" s="260">
        <v>1.6828799999999999</v>
      </c>
      <c r="AZ105" s="260">
        <v>1.683411</v>
      </c>
      <c r="BA105" s="260">
        <v>1.6839409999999999</v>
      </c>
      <c r="BB105" s="260">
        <v>1.6844709999999998</v>
      </c>
      <c r="BC105" s="260">
        <v>1.685001</v>
      </c>
      <c r="BD105" s="260">
        <v>1.6855309999999999</v>
      </c>
      <c r="BE105" s="260">
        <v>1.6860599999999999</v>
      </c>
      <c r="BF105" s="260">
        <v>1.6865889999999999</v>
      </c>
      <c r="BG105" s="260">
        <v>1.687117</v>
      </c>
      <c r="BH105" s="260">
        <v>1.687646</v>
      </c>
      <c r="BI105" s="260">
        <v>1.6881729999999999</v>
      </c>
      <c r="BJ105" s="260">
        <v>1.688701</v>
      </c>
      <c r="BK105" s="260">
        <v>1.689228</v>
      </c>
      <c r="BL105" s="260">
        <v>1.6897549999999999</v>
      </c>
      <c r="BM105" s="260">
        <v>1.6902809999999999</v>
      </c>
      <c r="BN105" s="260">
        <v>1.6908069999999999</v>
      </c>
      <c r="BO105" s="260">
        <v>1.691333</v>
      </c>
      <c r="BP105" s="260">
        <v>1.6918579999999999</v>
      </c>
      <c r="BQ105" s="260">
        <v>1.692383</v>
      </c>
      <c r="BR105" s="260">
        <v>1.6929079999999999</v>
      </c>
      <c r="BS105" s="260">
        <v>1.6934319999999998</v>
      </c>
      <c r="BT105" s="260">
        <v>1.693956</v>
      </c>
      <c r="BU105" s="260">
        <v>1.69448</v>
      </c>
      <c r="BV105" s="260">
        <v>1.6950029999999998</v>
      </c>
      <c r="BW105" s="260">
        <v>1.6955259999999999</v>
      </c>
      <c r="BX105" s="260">
        <v>1.696048</v>
      </c>
      <c r="BY105" s="260">
        <v>1.6965699999999999</v>
      </c>
      <c r="BZ105" s="260">
        <v>1.6970919999999998</v>
      </c>
      <c r="CA105" s="260">
        <v>1.697614</v>
      </c>
      <c r="CB105" s="260">
        <v>1.698135</v>
      </c>
      <c r="CC105" s="260">
        <v>1.6986559999999999</v>
      </c>
      <c r="CD105" s="260">
        <v>1.699176</v>
      </c>
      <c r="CE105" s="260">
        <v>1.6996959999999999</v>
      </c>
      <c r="CF105" s="260">
        <v>1.7002159999999999</v>
      </c>
      <c r="CG105" s="260">
        <v>1.700736</v>
      </c>
      <c r="CH105" s="260">
        <v>1.701255</v>
      </c>
    </row>
    <row r="106" spans="1:86" x14ac:dyDescent="0.25">
      <c r="A106" s="170">
        <v>1</v>
      </c>
      <c r="B106" s="170">
        <v>105</v>
      </c>
      <c r="C106" s="259">
        <v>1.5905050039291382</v>
      </c>
      <c r="D106" s="259">
        <v>1.5905050039291382</v>
      </c>
      <c r="E106" s="259">
        <v>1.5905050039291382</v>
      </c>
      <c r="F106" s="259">
        <v>1.5905050039291382</v>
      </c>
      <c r="G106" s="259">
        <v>1.5905050039291382</v>
      </c>
      <c r="H106" s="259">
        <v>1.5905050039291382</v>
      </c>
      <c r="I106" s="260">
        <v>1.539199</v>
      </c>
      <c r="J106" s="260">
        <v>1.539199</v>
      </c>
      <c r="K106" s="260">
        <v>1.539199</v>
      </c>
      <c r="L106" s="260">
        <v>1.539199</v>
      </c>
      <c r="M106" s="260">
        <v>1.539199</v>
      </c>
      <c r="N106" s="260">
        <v>1.539199</v>
      </c>
      <c r="O106" s="260">
        <v>1.539199</v>
      </c>
      <c r="P106" s="260">
        <v>1.539199</v>
      </c>
      <c r="Q106" s="260">
        <v>1.539199</v>
      </c>
      <c r="R106" s="260">
        <v>1.539199</v>
      </c>
      <c r="S106" s="260">
        <v>1.539199</v>
      </c>
      <c r="T106" s="260">
        <v>1.539199</v>
      </c>
      <c r="U106" s="260">
        <v>1.539199</v>
      </c>
      <c r="V106" s="260">
        <v>1.539199</v>
      </c>
      <c r="W106" s="260">
        <v>1.539199</v>
      </c>
      <c r="X106" s="260">
        <v>1.539199</v>
      </c>
      <c r="Y106" s="260">
        <v>1.539199</v>
      </c>
      <c r="Z106" s="260">
        <v>1.539199</v>
      </c>
      <c r="AA106" s="260">
        <v>1.539199</v>
      </c>
      <c r="AB106" s="260">
        <v>1.539199</v>
      </c>
      <c r="AC106" s="260">
        <v>1.539199</v>
      </c>
      <c r="AD106" s="260">
        <v>1.539199</v>
      </c>
      <c r="AE106" s="260">
        <v>1.539199</v>
      </c>
      <c r="AF106" s="260">
        <v>1.539199</v>
      </c>
      <c r="AG106" s="260">
        <v>1.539199</v>
      </c>
      <c r="AH106" s="260">
        <v>1.539199</v>
      </c>
      <c r="AI106" s="260">
        <v>1.539199</v>
      </c>
      <c r="AJ106" s="260">
        <v>1.539199</v>
      </c>
      <c r="AK106" s="260">
        <v>1.539199</v>
      </c>
      <c r="AL106" s="260">
        <v>1.539199</v>
      </c>
      <c r="AM106" s="260">
        <v>1.539199</v>
      </c>
      <c r="AN106" s="260">
        <v>1.539199</v>
      </c>
      <c r="AO106" s="260">
        <v>1.539199</v>
      </c>
      <c r="AP106" s="260">
        <v>1.539199</v>
      </c>
      <c r="AQ106" s="260">
        <v>1.539199</v>
      </c>
      <c r="AR106" s="260">
        <v>1.539199</v>
      </c>
      <c r="AS106" s="260">
        <v>1.539199</v>
      </c>
      <c r="AT106" s="260">
        <v>1.539199</v>
      </c>
      <c r="AU106" s="260">
        <v>1.539199</v>
      </c>
      <c r="AV106" s="260">
        <v>1.539199</v>
      </c>
      <c r="AW106" s="260">
        <v>1.539199</v>
      </c>
      <c r="AX106" s="260">
        <v>1.539199</v>
      </c>
      <c r="AY106" s="260">
        <v>1.539199</v>
      </c>
      <c r="AZ106" s="260">
        <v>1.539199</v>
      </c>
      <c r="BA106" s="260">
        <v>1.539199</v>
      </c>
      <c r="BB106" s="260">
        <v>1.539199</v>
      </c>
      <c r="BC106" s="260">
        <v>1.539199</v>
      </c>
      <c r="BD106" s="260">
        <v>1.539199</v>
      </c>
      <c r="BE106" s="260">
        <v>1.539199</v>
      </c>
      <c r="BF106" s="260">
        <v>1.539199</v>
      </c>
      <c r="BG106" s="260">
        <v>1.539199</v>
      </c>
      <c r="BH106" s="260">
        <v>1.539199</v>
      </c>
      <c r="BI106" s="260">
        <v>1.539199</v>
      </c>
      <c r="BJ106" s="260">
        <v>1.539199</v>
      </c>
      <c r="BK106" s="260">
        <v>1.539199</v>
      </c>
      <c r="BL106" s="260">
        <v>1.539199</v>
      </c>
      <c r="BM106" s="260">
        <v>1.539199</v>
      </c>
      <c r="BN106" s="260">
        <v>1.539199</v>
      </c>
      <c r="BO106" s="260">
        <v>1.539199</v>
      </c>
      <c r="BP106" s="260">
        <v>1.539199</v>
      </c>
      <c r="BQ106" s="260">
        <v>1.539199</v>
      </c>
      <c r="BR106" s="260">
        <v>1.539199</v>
      </c>
      <c r="BS106" s="260">
        <v>1.539199</v>
      </c>
      <c r="BT106" s="260">
        <v>1.539199</v>
      </c>
      <c r="BU106" s="260">
        <v>1.539199</v>
      </c>
      <c r="BV106" s="260">
        <v>1.539199</v>
      </c>
      <c r="BW106" s="260">
        <v>1.539199</v>
      </c>
      <c r="BX106" s="260">
        <v>1.539199</v>
      </c>
      <c r="BY106" s="260">
        <v>1.539199</v>
      </c>
      <c r="BZ106" s="260">
        <v>1.539199</v>
      </c>
      <c r="CA106" s="260">
        <v>1.539199</v>
      </c>
      <c r="CB106" s="260">
        <v>1.539199</v>
      </c>
      <c r="CC106" s="260">
        <v>1.539199</v>
      </c>
      <c r="CD106" s="260">
        <v>1.539199</v>
      </c>
      <c r="CE106" s="260">
        <v>1.539199</v>
      </c>
      <c r="CF106" s="260">
        <v>1.539199</v>
      </c>
      <c r="CG106" s="260">
        <v>1.539199</v>
      </c>
      <c r="CH106" s="260">
        <v>1.539199</v>
      </c>
    </row>
    <row r="107" spans="1:86" x14ac:dyDescent="0.25">
      <c r="A107" s="170">
        <v>1</v>
      </c>
      <c r="B107" s="170">
        <v>106</v>
      </c>
      <c r="C107" s="259">
        <v>1.4877430200576782</v>
      </c>
      <c r="D107" s="259">
        <v>1.4877430200576782</v>
      </c>
      <c r="E107" s="259">
        <v>1.4877430200576782</v>
      </c>
      <c r="F107" s="259">
        <v>1.4877430200576782</v>
      </c>
      <c r="G107" s="259">
        <v>1.4877430200576782</v>
      </c>
      <c r="H107" s="259">
        <v>1.4877430200576782</v>
      </c>
      <c r="I107" s="260">
        <v>1.4239849999999998</v>
      </c>
      <c r="J107" s="260">
        <v>1.4239849999999998</v>
      </c>
      <c r="K107" s="260">
        <v>1.4239849999999998</v>
      </c>
      <c r="L107" s="260">
        <v>1.4239849999999998</v>
      </c>
      <c r="M107" s="260">
        <v>1.4239849999999998</v>
      </c>
      <c r="N107" s="260">
        <v>1.4239849999999998</v>
      </c>
      <c r="O107" s="260">
        <v>1.4239849999999998</v>
      </c>
      <c r="P107" s="260">
        <v>1.4239849999999998</v>
      </c>
      <c r="Q107" s="260">
        <v>1.4239849999999998</v>
      </c>
      <c r="R107" s="260">
        <v>1.4239849999999998</v>
      </c>
      <c r="S107" s="260">
        <v>1.4239849999999998</v>
      </c>
      <c r="T107" s="260">
        <v>1.4239849999999998</v>
      </c>
      <c r="U107" s="260">
        <v>1.4239849999999998</v>
      </c>
      <c r="V107" s="260">
        <v>1.4239849999999998</v>
      </c>
      <c r="W107" s="260">
        <v>1.4239849999999998</v>
      </c>
      <c r="X107" s="260">
        <v>1.4239849999999998</v>
      </c>
      <c r="Y107" s="260">
        <v>1.4239849999999998</v>
      </c>
      <c r="Z107" s="260">
        <v>1.4239849999999998</v>
      </c>
      <c r="AA107" s="260">
        <v>1.4239849999999998</v>
      </c>
      <c r="AB107" s="260">
        <v>1.4239849999999998</v>
      </c>
      <c r="AC107" s="260">
        <v>1.4239849999999998</v>
      </c>
      <c r="AD107" s="260">
        <v>1.4239849999999998</v>
      </c>
      <c r="AE107" s="260">
        <v>1.4239849999999998</v>
      </c>
      <c r="AF107" s="260">
        <v>1.4239849999999998</v>
      </c>
      <c r="AG107" s="260">
        <v>1.4239849999999998</v>
      </c>
      <c r="AH107" s="260">
        <v>1.4239849999999998</v>
      </c>
      <c r="AI107" s="260">
        <v>1.4239849999999998</v>
      </c>
      <c r="AJ107" s="260">
        <v>1.4239849999999998</v>
      </c>
      <c r="AK107" s="260">
        <v>1.4239849999999998</v>
      </c>
      <c r="AL107" s="260">
        <v>1.4239849999999998</v>
      </c>
      <c r="AM107" s="260">
        <v>1.4239849999999998</v>
      </c>
      <c r="AN107" s="260">
        <v>1.4239849999999998</v>
      </c>
      <c r="AO107" s="260">
        <v>1.4239849999999998</v>
      </c>
      <c r="AP107" s="260">
        <v>1.4239849999999998</v>
      </c>
      <c r="AQ107" s="260">
        <v>1.4239849999999998</v>
      </c>
      <c r="AR107" s="260">
        <v>1.4239849999999998</v>
      </c>
      <c r="AS107" s="260">
        <v>1.4239849999999998</v>
      </c>
      <c r="AT107" s="260">
        <v>1.4239849999999998</v>
      </c>
      <c r="AU107" s="260">
        <v>1.4239849999999998</v>
      </c>
      <c r="AV107" s="260">
        <v>1.4239849999999998</v>
      </c>
      <c r="AW107" s="260">
        <v>1.4239849999999998</v>
      </c>
      <c r="AX107" s="260">
        <v>1.4239849999999998</v>
      </c>
      <c r="AY107" s="260">
        <v>1.4239849999999998</v>
      </c>
      <c r="AZ107" s="260">
        <v>1.4239849999999998</v>
      </c>
      <c r="BA107" s="260">
        <v>1.4239849999999998</v>
      </c>
      <c r="BB107" s="260">
        <v>1.4239849999999998</v>
      </c>
      <c r="BC107" s="260">
        <v>1.4239849999999998</v>
      </c>
      <c r="BD107" s="260">
        <v>1.4239849999999998</v>
      </c>
      <c r="BE107" s="260">
        <v>1.4239849999999998</v>
      </c>
      <c r="BF107" s="260">
        <v>1.4239849999999998</v>
      </c>
      <c r="BG107" s="260">
        <v>1.4239849999999998</v>
      </c>
      <c r="BH107" s="260">
        <v>1.4239849999999998</v>
      </c>
      <c r="BI107" s="260">
        <v>1.4239849999999998</v>
      </c>
      <c r="BJ107" s="260">
        <v>1.4239849999999998</v>
      </c>
      <c r="BK107" s="260">
        <v>1.4239849999999998</v>
      </c>
      <c r="BL107" s="260">
        <v>1.4239849999999998</v>
      </c>
      <c r="BM107" s="260">
        <v>1.4239849999999998</v>
      </c>
      <c r="BN107" s="260">
        <v>1.4239849999999998</v>
      </c>
      <c r="BO107" s="260">
        <v>1.4239849999999998</v>
      </c>
      <c r="BP107" s="260">
        <v>1.4239849999999998</v>
      </c>
      <c r="BQ107" s="260">
        <v>1.4239849999999998</v>
      </c>
      <c r="BR107" s="260">
        <v>1.4239849999999998</v>
      </c>
      <c r="BS107" s="260">
        <v>1.4239849999999998</v>
      </c>
      <c r="BT107" s="260">
        <v>1.4239849999999998</v>
      </c>
      <c r="BU107" s="260">
        <v>1.4239849999999998</v>
      </c>
      <c r="BV107" s="260">
        <v>1.4239849999999998</v>
      </c>
      <c r="BW107" s="260">
        <v>1.4239849999999998</v>
      </c>
      <c r="BX107" s="260">
        <v>1.4239849999999998</v>
      </c>
      <c r="BY107" s="260">
        <v>1.4239849999999998</v>
      </c>
      <c r="BZ107" s="260">
        <v>1.4239849999999998</v>
      </c>
      <c r="CA107" s="260">
        <v>1.4239849999999998</v>
      </c>
      <c r="CB107" s="260">
        <v>1.4239849999999998</v>
      </c>
      <c r="CC107" s="260">
        <v>1.4239849999999998</v>
      </c>
      <c r="CD107" s="260">
        <v>1.4239849999999998</v>
      </c>
      <c r="CE107" s="260">
        <v>1.4239849999999998</v>
      </c>
      <c r="CF107" s="260">
        <v>1.4239849999999998</v>
      </c>
      <c r="CG107" s="260">
        <v>1.4239849999999998</v>
      </c>
      <c r="CH107" s="260">
        <v>1.4239849999999998</v>
      </c>
    </row>
    <row r="108" spans="1:86" x14ac:dyDescent="0.25">
      <c r="A108" s="170">
        <v>1</v>
      </c>
      <c r="B108" s="170">
        <v>107</v>
      </c>
      <c r="C108" s="259">
        <v>1.3735040426254272</v>
      </c>
      <c r="D108" s="259">
        <v>1.3735040426254272</v>
      </c>
      <c r="E108" s="259">
        <v>1.3735040426254272</v>
      </c>
      <c r="F108" s="259">
        <v>1.3735040426254272</v>
      </c>
      <c r="G108" s="259">
        <v>1.3735040426254272</v>
      </c>
      <c r="H108" s="259">
        <v>1.3735040426254272</v>
      </c>
      <c r="I108" s="260">
        <v>1.303855</v>
      </c>
      <c r="J108" s="260">
        <v>1.303855</v>
      </c>
      <c r="K108" s="260">
        <v>1.303855</v>
      </c>
      <c r="L108" s="260">
        <v>1.303855</v>
      </c>
      <c r="M108" s="260">
        <v>1.303855</v>
      </c>
      <c r="N108" s="260">
        <v>1.303855</v>
      </c>
      <c r="O108" s="260">
        <v>1.303855</v>
      </c>
      <c r="P108" s="260">
        <v>1.303855</v>
      </c>
      <c r="Q108" s="260">
        <v>1.303855</v>
      </c>
      <c r="R108" s="260">
        <v>1.303855</v>
      </c>
      <c r="S108" s="260">
        <v>1.303855</v>
      </c>
      <c r="T108" s="260">
        <v>1.303855</v>
      </c>
      <c r="U108" s="260">
        <v>1.303855</v>
      </c>
      <c r="V108" s="260">
        <v>1.303855</v>
      </c>
      <c r="W108" s="260">
        <v>1.303855</v>
      </c>
      <c r="X108" s="260">
        <v>1.303855</v>
      </c>
      <c r="Y108" s="260">
        <v>1.303855</v>
      </c>
      <c r="Z108" s="260">
        <v>1.303855</v>
      </c>
      <c r="AA108" s="260">
        <v>1.303855</v>
      </c>
      <c r="AB108" s="260">
        <v>1.303855</v>
      </c>
      <c r="AC108" s="260">
        <v>1.303855</v>
      </c>
      <c r="AD108" s="260">
        <v>1.303855</v>
      </c>
      <c r="AE108" s="260">
        <v>1.303855</v>
      </c>
      <c r="AF108" s="260">
        <v>1.303855</v>
      </c>
      <c r="AG108" s="260">
        <v>1.303855</v>
      </c>
      <c r="AH108" s="260">
        <v>1.303855</v>
      </c>
      <c r="AI108" s="260">
        <v>1.303855</v>
      </c>
      <c r="AJ108" s="260">
        <v>1.303855</v>
      </c>
      <c r="AK108" s="260">
        <v>1.303855</v>
      </c>
      <c r="AL108" s="260">
        <v>1.303855</v>
      </c>
      <c r="AM108" s="260">
        <v>1.303855</v>
      </c>
      <c r="AN108" s="260">
        <v>1.303855</v>
      </c>
      <c r="AO108" s="260">
        <v>1.303855</v>
      </c>
      <c r="AP108" s="260">
        <v>1.303855</v>
      </c>
      <c r="AQ108" s="260">
        <v>1.303855</v>
      </c>
      <c r="AR108" s="260">
        <v>1.303855</v>
      </c>
      <c r="AS108" s="260">
        <v>1.303855</v>
      </c>
      <c r="AT108" s="260">
        <v>1.303855</v>
      </c>
      <c r="AU108" s="260">
        <v>1.303855</v>
      </c>
      <c r="AV108" s="260">
        <v>1.303855</v>
      </c>
      <c r="AW108" s="260">
        <v>1.303855</v>
      </c>
      <c r="AX108" s="260">
        <v>1.303855</v>
      </c>
      <c r="AY108" s="260">
        <v>1.303855</v>
      </c>
      <c r="AZ108" s="260">
        <v>1.303855</v>
      </c>
      <c r="BA108" s="260">
        <v>1.303855</v>
      </c>
      <c r="BB108" s="260">
        <v>1.303855</v>
      </c>
      <c r="BC108" s="260">
        <v>1.303855</v>
      </c>
      <c r="BD108" s="260">
        <v>1.303855</v>
      </c>
      <c r="BE108" s="260">
        <v>1.303855</v>
      </c>
      <c r="BF108" s="260">
        <v>1.303855</v>
      </c>
      <c r="BG108" s="260">
        <v>1.303855</v>
      </c>
      <c r="BH108" s="260">
        <v>1.303855</v>
      </c>
      <c r="BI108" s="260">
        <v>1.303855</v>
      </c>
      <c r="BJ108" s="260">
        <v>1.303855</v>
      </c>
      <c r="BK108" s="260">
        <v>1.303855</v>
      </c>
      <c r="BL108" s="260">
        <v>1.303855</v>
      </c>
      <c r="BM108" s="260">
        <v>1.303855</v>
      </c>
      <c r="BN108" s="260">
        <v>1.303855</v>
      </c>
      <c r="BO108" s="260">
        <v>1.303855</v>
      </c>
      <c r="BP108" s="260">
        <v>1.303855</v>
      </c>
      <c r="BQ108" s="260">
        <v>1.303855</v>
      </c>
      <c r="BR108" s="260">
        <v>1.303855</v>
      </c>
      <c r="BS108" s="260">
        <v>1.303855</v>
      </c>
      <c r="BT108" s="260">
        <v>1.303855</v>
      </c>
      <c r="BU108" s="260">
        <v>1.303855</v>
      </c>
      <c r="BV108" s="260">
        <v>1.303855</v>
      </c>
      <c r="BW108" s="260">
        <v>1.303855</v>
      </c>
      <c r="BX108" s="260">
        <v>1.303855</v>
      </c>
      <c r="BY108" s="260">
        <v>1.303855</v>
      </c>
      <c r="BZ108" s="260">
        <v>1.303855</v>
      </c>
      <c r="CA108" s="260">
        <v>1.303855</v>
      </c>
      <c r="CB108" s="260">
        <v>1.303855</v>
      </c>
      <c r="CC108" s="260">
        <v>1.303855</v>
      </c>
      <c r="CD108" s="260">
        <v>1.303855</v>
      </c>
      <c r="CE108" s="260">
        <v>1.303855</v>
      </c>
      <c r="CF108" s="260">
        <v>1.303855</v>
      </c>
      <c r="CG108" s="260">
        <v>1.303855</v>
      </c>
      <c r="CH108" s="260">
        <v>1.303855</v>
      </c>
    </row>
    <row r="109" spans="1:86" x14ac:dyDescent="0.25">
      <c r="A109" s="170">
        <v>1</v>
      </c>
      <c r="B109" s="170">
        <v>108</v>
      </c>
      <c r="C109" s="259">
        <v>1.2254860401153564</v>
      </c>
      <c r="D109" s="259">
        <v>1.2254860401153564</v>
      </c>
      <c r="E109" s="259">
        <v>1.2254860401153564</v>
      </c>
      <c r="F109" s="259">
        <v>1.2254860401153564</v>
      </c>
      <c r="G109" s="259">
        <v>1.2254860401153564</v>
      </c>
      <c r="H109" s="259">
        <v>1.2254860401153564</v>
      </c>
      <c r="I109" s="260">
        <v>1.1612289999999998</v>
      </c>
      <c r="J109" s="260">
        <v>1.1612289999999998</v>
      </c>
      <c r="K109" s="260">
        <v>1.1612289999999998</v>
      </c>
      <c r="L109" s="260">
        <v>1.1612289999999998</v>
      </c>
      <c r="M109" s="260">
        <v>1.1612289999999998</v>
      </c>
      <c r="N109" s="260">
        <v>1.1612289999999998</v>
      </c>
      <c r="O109" s="260">
        <v>1.1612289999999998</v>
      </c>
      <c r="P109" s="260">
        <v>1.1612289999999998</v>
      </c>
      <c r="Q109" s="260">
        <v>1.1612289999999998</v>
      </c>
      <c r="R109" s="260">
        <v>1.1612289999999998</v>
      </c>
      <c r="S109" s="260">
        <v>1.1612289999999998</v>
      </c>
      <c r="T109" s="260">
        <v>1.1612289999999998</v>
      </c>
      <c r="U109" s="260">
        <v>1.1612289999999998</v>
      </c>
      <c r="V109" s="260">
        <v>1.1612289999999998</v>
      </c>
      <c r="W109" s="260">
        <v>1.1612289999999998</v>
      </c>
      <c r="X109" s="260">
        <v>1.1612289999999998</v>
      </c>
      <c r="Y109" s="260">
        <v>1.1612289999999998</v>
      </c>
      <c r="Z109" s="260">
        <v>1.1612289999999998</v>
      </c>
      <c r="AA109" s="260">
        <v>1.1612289999999998</v>
      </c>
      <c r="AB109" s="260">
        <v>1.1612289999999998</v>
      </c>
      <c r="AC109" s="260">
        <v>1.1612289999999998</v>
      </c>
      <c r="AD109" s="260">
        <v>1.1612289999999998</v>
      </c>
      <c r="AE109" s="260">
        <v>1.1612289999999998</v>
      </c>
      <c r="AF109" s="260">
        <v>1.1612289999999998</v>
      </c>
      <c r="AG109" s="260">
        <v>1.1612289999999998</v>
      </c>
      <c r="AH109" s="260">
        <v>1.1612289999999998</v>
      </c>
      <c r="AI109" s="260">
        <v>1.1612289999999998</v>
      </c>
      <c r="AJ109" s="260">
        <v>1.1612289999999998</v>
      </c>
      <c r="AK109" s="260">
        <v>1.1612289999999998</v>
      </c>
      <c r="AL109" s="260">
        <v>1.1612289999999998</v>
      </c>
      <c r="AM109" s="260">
        <v>1.1612289999999998</v>
      </c>
      <c r="AN109" s="260">
        <v>1.1612289999999998</v>
      </c>
      <c r="AO109" s="260">
        <v>1.1612289999999998</v>
      </c>
      <c r="AP109" s="260">
        <v>1.1612289999999998</v>
      </c>
      <c r="AQ109" s="260">
        <v>1.1612289999999998</v>
      </c>
      <c r="AR109" s="260">
        <v>1.1612289999999998</v>
      </c>
      <c r="AS109" s="260">
        <v>1.1612289999999998</v>
      </c>
      <c r="AT109" s="260">
        <v>1.1612289999999998</v>
      </c>
      <c r="AU109" s="260">
        <v>1.1612289999999998</v>
      </c>
      <c r="AV109" s="260">
        <v>1.1612289999999998</v>
      </c>
      <c r="AW109" s="260">
        <v>1.1612289999999998</v>
      </c>
      <c r="AX109" s="260">
        <v>1.1612289999999998</v>
      </c>
      <c r="AY109" s="260">
        <v>1.1612289999999998</v>
      </c>
      <c r="AZ109" s="260">
        <v>1.1612289999999998</v>
      </c>
      <c r="BA109" s="260">
        <v>1.1612289999999998</v>
      </c>
      <c r="BB109" s="260">
        <v>1.1612289999999998</v>
      </c>
      <c r="BC109" s="260">
        <v>1.1612289999999998</v>
      </c>
      <c r="BD109" s="260">
        <v>1.1612289999999998</v>
      </c>
      <c r="BE109" s="260">
        <v>1.1612289999999998</v>
      </c>
      <c r="BF109" s="260">
        <v>1.1612289999999998</v>
      </c>
      <c r="BG109" s="260">
        <v>1.1612289999999998</v>
      </c>
      <c r="BH109" s="260">
        <v>1.1612289999999998</v>
      </c>
      <c r="BI109" s="260">
        <v>1.1612289999999998</v>
      </c>
      <c r="BJ109" s="260">
        <v>1.1612289999999998</v>
      </c>
      <c r="BK109" s="260">
        <v>1.1612289999999998</v>
      </c>
      <c r="BL109" s="260">
        <v>1.1612289999999998</v>
      </c>
      <c r="BM109" s="260">
        <v>1.1612289999999998</v>
      </c>
      <c r="BN109" s="260">
        <v>1.1612289999999998</v>
      </c>
      <c r="BO109" s="260">
        <v>1.1612289999999998</v>
      </c>
      <c r="BP109" s="260">
        <v>1.1612289999999998</v>
      </c>
      <c r="BQ109" s="260">
        <v>1.1612289999999998</v>
      </c>
      <c r="BR109" s="260">
        <v>1.1612289999999998</v>
      </c>
      <c r="BS109" s="260">
        <v>1.1612289999999998</v>
      </c>
      <c r="BT109" s="260">
        <v>1.1612289999999998</v>
      </c>
      <c r="BU109" s="260">
        <v>1.1612289999999998</v>
      </c>
      <c r="BV109" s="260">
        <v>1.1612289999999998</v>
      </c>
      <c r="BW109" s="260">
        <v>1.1612289999999998</v>
      </c>
      <c r="BX109" s="260">
        <v>1.1612289999999998</v>
      </c>
      <c r="BY109" s="260">
        <v>1.1612289999999998</v>
      </c>
      <c r="BZ109" s="260">
        <v>1.1612289999999998</v>
      </c>
      <c r="CA109" s="260">
        <v>1.1612289999999998</v>
      </c>
      <c r="CB109" s="260">
        <v>1.1612289999999998</v>
      </c>
      <c r="CC109" s="260">
        <v>1.1612289999999998</v>
      </c>
      <c r="CD109" s="260">
        <v>1.1612289999999998</v>
      </c>
      <c r="CE109" s="260">
        <v>1.1612289999999998</v>
      </c>
      <c r="CF109" s="260">
        <v>1.1612289999999998</v>
      </c>
      <c r="CG109" s="260">
        <v>1.1612289999999998</v>
      </c>
      <c r="CH109" s="260">
        <v>1.1612289999999998</v>
      </c>
    </row>
    <row r="110" spans="1:86" x14ac:dyDescent="0.25">
      <c r="A110" s="170">
        <v>1</v>
      </c>
      <c r="B110" s="170">
        <v>109</v>
      </c>
      <c r="C110" s="259">
        <v>0.99131500720977783</v>
      </c>
      <c r="D110" s="259">
        <v>0.99131500720977783</v>
      </c>
      <c r="E110" s="259">
        <v>0.99131500720977783</v>
      </c>
      <c r="F110" s="259">
        <v>0.99131500720977783</v>
      </c>
      <c r="G110" s="259">
        <v>0.99131500720977783</v>
      </c>
      <c r="H110" s="259">
        <v>0.99131500720977783</v>
      </c>
      <c r="I110" s="260">
        <v>0.950241</v>
      </c>
      <c r="J110" s="260">
        <v>0.950241</v>
      </c>
      <c r="K110" s="260">
        <v>0.950241</v>
      </c>
      <c r="L110" s="260">
        <v>0.950241</v>
      </c>
      <c r="M110" s="260">
        <v>0.950241</v>
      </c>
      <c r="N110" s="260">
        <v>0.950241</v>
      </c>
      <c r="O110" s="260">
        <v>0.950241</v>
      </c>
      <c r="P110" s="260">
        <v>0.950241</v>
      </c>
      <c r="Q110" s="260">
        <v>0.950241</v>
      </c>
      <c r="R110" s="260">
        <v>0.950241</v>
      </c>
      <c r="S110" s="260">
        <v>0.950241</v>
      </c>
      <c r="T110" s="260">
        <v>0.950241</v>
      </c>
      <c r="U110" s="260">
        <v>0.950241</v>
      </c>
      <c r="V110" s="260">
        <v>0.950241</v>
      </c>
      <c r="W110" s="260">
        <v>0.950241</v>
      </c>
      <c r="X110" s="260">
        <v>0.950241</v>
      </c>
      <c r="Y110" s="260">
        <v>0.950241</v>
      </c>
      <c r="Z110" s="260">
        <v>0.950241</v>
      </c>
      <c r="AA110" s="260">
        <v>0.950241</v>
      </c>
      <c r="AB110" s="260">
        <v>0.950241</v>
      </c>
      <c r="AC110" s="260">
        <v>0.950241</v>
      </c>
      <c r="AD110" s="260">
        <v>0.950241</v>
      </c>
      <c r="AE110" s="260">
        <v>0.950241</v>
      </c>
      <c r="AF110" s="260">
        <v>0.950241</v>
      </c>
      <c r="AG110" s="260">
        <v>0.950241</v>
      </c>
      <c r="AH110" s="260">
        <v>0.950241</v>
      </c>
      <c r="AI110" s="260">
        <v>0.950241</v>
      </c>
      <c r="AJ110" s="260">
        <v>0.950241</v>
      </c>
      <c r="AK110" s="260">
        <v>0.950241</v>
      </c>
      <c r="AL110" s="260">
        <v>0.950241</v>
      </c>
      <c r="AM110" s="260">
        <v>0.950241</v>
      </c>
      <c r="AN110" s="260">
        <v>0.950241</v>
      </c>
      <c r="AO110" s="260">
        <v>0.950241</v>
      </c>
      <c r="AP110" s="260">
        <v>0.950241</v>
      </c>
      <c r="AQ110" s="260">
        <v>0.950241</v>
      </c>
      <c r="AR110" s="260">
        <v>0.950241</v>
      </c>
      <c r="AS110" s="260">
        <v>0.950241</v>
      </c>
      <c r="AT110" s="260">
        <v>0.950241</v>
      </c>
      <c r="AU110" s="260">
        <v>0.950241</v>
      </c>
      <c r="AV110" s="260">
        <v>0.950241</v>
      </c>
      <c r="AW110" s="260">
        <v>0.950241</v>
      </c>
      <c r="AX110" s="260">
        <v>0.950241</v>
      </c>
      <c r="AY110" s="260">
        <v>0.950241</v>
      </c>
      <c r="AZ110" s="260">
        <v>0.950241</v>
      </c>
      <c r="BA110" s="260">
        <v>0.950241</v>
      </c>
      <c r="BB110" s="260">
        <v>0.950241</v>
      </c>
      <c r="BC110" s="260">
        <v>0.950241</v>
      </c>
      <c r="BD110" s="260">
        <v>0.950241</v>
      </c>
      <c r="BE110" s="260">
        <v>0.950241</v>
      </c>
      <c r="BF110" s="260">
        <v>0.950241</v>
      </c>
      <c r="BG110" s="260">
        <v>0.950241</v>
      </c>
      <c r="BH110" s="260">
        <v>0.950241</v>
      </c>
      <c r="BI110" s="260">
        <v>0.950241</v>
      </c>
      <c r="BJ110" s="260">
        <v>0.950241</v>
      </c>
      <c r="BK110" s="260">
        <v>0.950241</v>
      </c>
      <c r="BL110" s="260">
        <v>0.950241</v>
      </c>
      <c r="BM110" s="260">
        <v>0.950241</v>
      </c>
      <c r="BN110" s="260">
        <v>0.950241</v>
      </c>
      <c r="BO110" s="260">
        <v>0.950241</v>
      </c>
      <c r="BP110" s="260">
        <v>0.950241</v>
      </c>
      <c r="BQ110" s="260">
        <v>0.950241</v>
      </c>
      <c r="BR110" s="260">
        <v>0.950241</v>
      </c>
      <c r="BS110" s="260">
        <v>0.950241</v>
      </c>
      <c r="BT110" s="260">
        <v>0.950241</v>
      </c>
      <c r="BU110" s="260">
        <v>0.950241</v>
      </c>
      <c r="BV110" s="260">
        <v>0.950241</v>
      </c>
      <c r="BW110" s="260">
        <v>0.950241</v>
      </c>
      <c r="BX110" s="260">
        <v>0.950241</v>
      </c>
      <c r="BY110" s="260">
        <v>0.950241</v>
      </c>
      <c r="BZ110" s="260">
        <v>0.950241</v>
      </c>
      <c r="CA110" s="260">
        <v>0.950241</v>
      </c>
      <c r="CB110" s="260">
        <v>0.950241</v>
      </c>
      <c r="CC110" s="260">
        <v>0.950241</v>
      </c>
      <c r="CD110" s="260">
        <v>0.950241</v>
      </c>
      <c r="CE110" s="260">
        <v>0.950241</v>
      </c>
      <c r="CF110" s="260">
        <v>0.950241</v>
      </c>
      <c r="CG110" s="260">
        <v>0.950241</v>
      </c>
      <c r="CH110" s="260">
        <v>0.950241</v>
      </c>
    </row>
    <row r="111" spans="1:86" x14ac:dyDescent="0.25">
      <c r="A111" s="170">
        <v>1</v>
      </c>
      <c r="B111" s="170">
        <v>110</v>
      </c>
      <c r="C111" s="259">
        <v>0.54166698455810547</v>
      </c>
      <c r="D111" s="259">
        <v>0.54166698455810547</v>
      </c>
      <c r="E111" s="259">
        <v>0.54166698455810547</v>
      </c>
      <c r="F111" s="259">
        <v>0.54166698455810547</v>
      </c>
      <c r="G111" s="259">
        <v>0.54166698455810547</v>
      </c>
      <c r="H111" s="259">
        <v>0.54166698455810547</v>
      </c>
      <c r="I111" s="260">
        <v>0.54166700000000001</v>
      </c>
      <c r="J111" s="260">
        <v>0.54166700000000001</v>
      </c>
      <c r="K111" s="260">
        <v>0.54166700000000001</v>
      </c>
      <c r="L111" s="260">
        <v>0.54166700000000001</v>
      </c>
      <c r="M111" s="260">
        <v>0.54166700000000001</v>
      </c>
      <c r="N111" s="260">
        <v>0.54166700000000001</v>
      </c>
      <c r="O111" s="260">
        <v>0.54166700000000001</v>
      </c>
      <c r="P111" s="260">
        <v>0.54166700000000001</v>
      </c>
      <c r="Q111" s="260">
        <v>0.54166700000000001</v>
      </c>
      <c r="R111" s="260">
        <v>0.54166700000000001</v>
      </c>
      <c r="S111" s="260">
        <v>0.54166700000000001</v>
      </c>
      <c r="T111" s="260">
        <v>0.54166700000000001</v>
      </c>
      <c r="U111" s="260">
        <v>0.54166700000000001</v>
      </c>
      <c r="V111" s="260">
        <v>0.54166700000000001</v>
      </c>
      <c r="W111" s="260">
        <v>0.54166700000000001</v>
      </c>
      <c r="X111" s="260">
        <v>0.54166700000000001</v>
      </c>
      <c r="Y111" s="260">
        <v>0.54166700000000001</v>
      </c>
      <c r="Z111" s="260">
        <v>0.54166700000000001</v>
      </c>
      <c r="AA111" s="260">
        <v>0.54166700000000001</v>
      </c>
      <c r="AB111" s="260">
        <v>0.54166700000000001</v>
      </c>
      <c r="AC111" s="260">
        <v>0.54166700000000001</v>
      </c>
      <c r="AD111" s="260">
        <v>0.54166700000000001</v>
      </c>
      <c r="AE111" s="260">
        <v>0.54166700000000001</v>
      </c>
      <c r="AF111" s="260">
        <v>0.54166700000000001</v>
      </c>
      <c r="AG111" s="260">
        <v>0.54166700000000001</v>
      </c>
      <c r="AH111" s="260">
        <v>0.54166700000000001</v>
      </c>
      <c r="AI111" s="260">
        <v>0.54166700000000001</v>
      </c>
      <c r="AJ111" s="260">
        <v>0.54166700000000001</v>
      </c>
      <c r="AK111" s="260">
        <v>0.54166700000000001</v>
      </c>
      <c r="AL111" s="260">
        <v>0.54166700000000001</v>
      </c>
      <c r="AM111" s="260">
        <v>0.54166700000000001</v>
      </c>
      <c r="AN111" s="260">
        <v>0.54166700000000001</v>
      </c>
      <c r="AO111" s="260">
        <v>0.54166700000000001</v>
      </c>
      <c r="AP111" s="260">
        <v>0.54166700000000001</v>
      </c>
      <c r="AQ111" s="260">
        <v>0.54166700000000001</v>
      </c>
      <c r="AR111" s="260">
        <v>0.54166700000000001</v>
      </c>
      <c r="AS111" s="260">
        <v>0.54166700000000001</v>
      </c>
      <c r="AT111" s="260">
        <v>0.54166700000000001</v>
      </c>
      <c r="AU111" s="260">
        <v>0.54166700000000001</v>
      </c>
      <c r="AV111" s="260">
        <v>0.54166700000000001</v>
      </c>
      <c r="AW111" s="260">
        <v>0.54166700000000001</v>
      </c>
      <c r="AX111" s="260">
        <v>0.54166700000000001</v>
      </c>
      <c r="AY111" s="260">
        <v>0.54166700000000001</v>
      </c>
      <c r="AZ111" s="260">
        <v>0.54166700000000001</v>
      </c>
      <c r="BA111" s="260">
        <v>0.54166700000000001</v>
      </c>
      <c r="BB111" s="260">
        <v>0.54166700000000001</v>
      </c>
      <c r="BC111" s="260">
        <v>0.54166700000000001</v>
      </c>
      <c r="BD111" s="260">
        <v>0.54166700000000001</v>
      </c>
      <c r="BE111" s="260">
        <v>0.54166700000000001</v>
      </c>
      <c r="BF111" s="260">
        <v>0.54166700000000001</v>
      </c>
      <c r="BG111" s="260">
        <v>0.54166700000000001</v>
      </c>
      <c r="BH111" s="260">
        <v>0.54166700000000001</v>
      </c>
      <c r="BI111" s="260">
        <v>0.54166700000000001</v>
      </c>
      <c r="BJ111" s="260">
        <v>0.54166700000000001</v>
      </c>
      <c r="BK111" s="260">
        <v>0.54166700000000001</v>
      </c>
      <c r="BL111" s="260">
        <v>0.54166700000000001</v>
      </c>
      <c r="BM111" s="260">
        <v>0.54166700000000001</v>
      </c>
      <c r="BN111" s="260">
        <v>0.54166700000000001</v>
      </c>
      <c r="BO111" s="260">
        <v>0.54166700000000001</v>
      </c>
      <c r="BP111" s="260">
        <v>0.54166700000000001</v>
      </c>
      <c r="BQ111" s="260">
        <v>0.54166700000000001</v>
      </c>
      <c r="BR111" s="260">
        <v>0.54166700000000001</v>
      </c>
      <c r="BS111" s="260">
        <v>0.54166700000000001</v>
      </c>
      <c r="BT111" s="260">
        <v>0.54166700000000001</v>
      </c>
      <c r="BU111" s="260">
        <v>0.54166700000000001</v>
      </c>
      <c r="BV111" s="260">
        <v>0.54166700000000001</v>
      </c>
      <c r="BW111" s="260">
        <v>0.54166700000000001</v>
      </c>
      <c r="BX111" s="260">
        <v>0.54166700000000001</v>
      </c>
      <c r="BY111" s="260">
        <v>0.54166700000000001</v>
      </c>
      <c r="BZ111" s="260">
        <v>0.54166700000000001</v>
      </c>
      <c r="CA111" s="260">
        <v>0.54166700000000001</v>
      </c>
      <c r="CB111" s="260">
        <v>0.54166700000000001</v>
      </c>
      <c r="CC111" s="260">
        <v>0.54166700000000001</v>
      </c>
      <c r="CD111" s="260">
        <v>0.54166700000000001</v>
      </c>
      <c r="CE111" s="260">
        <v>0.54166700000000001</v>
      </c>
      <c r="CF111" s="260">
        <v>0.54166700000000001</v>
      </c>
      <c r="CG111" s="260">
        <v>0.54166700000000001</v>
      </c>
      <c r="CH111" s="260">
        <v>0.54166700000000001</v>
      </c>
    </row>
    <row r="112" spans="1:86" x14ac:dyDescent="0.25">
      <c r="A112" s="170">
        <v>2</v>
      </c>
      <c r="B112" s="170">
        <v>1</v>
      </c>
      <c r="C112" s="259">
        <v>0</v>
      </c>
      <c r="D112" s="259">
        <v>0</v>
      </c>
      <c r="E112" s="259">
        <v>0</v>
      </c>
      <c r="F112" s="259">
        <v>0</v>
      </c>
      <c r="G112" s="259">
        <v>0</v>
      </c>
      <c r="H112" s="259">
        <v>0</v>
      </c>
      <c r="I112" s="260">
        <v>0</v>
      </c>
      <c r="J112" s="260">
        <v>0</v>
      </c>
      <c r="K112" s="260">
        <v>0</v>
      </c>
      <c r="L112" s="260">
        <v>0</v>
      </c>
      <c r="M112" s="260">
        <v>0</v>
      </c>
      <c r="N112" s="260">
        <v>0</v>
      </c>
      <c r="O112" s="260">
        <v>0</v>
      </c>
      <c r="P112" s="260">
        <v>0</v>
      </c>
      <c r="Q112" s="260">
        <v>0</v>
      </c>
      <c r="R112" s="260">
        <v>0</v>
      </c>
      <c r="S112" s="260">
        <v>0</v>
      </c>
      <c r="T112" s="260">
        <v>0</v>
      </c>
      <c r="U112" s="260">
        <v>0</v>
      </c>
      <c r="V112" s="260">
        <v>0</v>
      </c>
      <c r="W112" s="260">
        <v>0</v>
      </c>
      <c r="X112" s="260">
        <v>0</v>
      </c>
      <c r="Y112" s="260">
        <v>0</v>
      </c>
      <c r="Z112" s="260">
        <v>0</v>
      </c>
      <c r="AA112" s="260">
        <v>0</v>
      </c>
      <c r="AB112" s="260">
        <v>0</v>
      </c>
      <c r="AC112" s="260">
        <v>0</v>
      </c>
      <c r="AD112" s="260">
        <v>0</v>
      </c>
      <c r="AE112" s="260">
        <v>0</v>
      </c>
      <c r="AF112" s="260">
        <v>0</v>
      </c>
      <c r="AG112" s="260">
        <v>0</v>
      </c>
      <c r="AH112" s="260">
        <v>0</v>
      </c>
      <c r="AI112" s="260">
        <v>0</v>
      </c>
      <c r="AJ112" s="260">
        <v>0</v>
      </c>
      <c r="AK112" s="260">
        <v>0</v>
      </c>
      <c r="AL112" s="260">
        <v>0</v>
      </c>
      <c r="AM112" s="260">
        <v>0</v>
      </c>
      <c r="AN112" s="260">
        <v>0</v>
      </c>
      <c r="AO112" s="260">
        <v>0</v>
      </c>
      <c r="AP112" s="260">
        <v>0</v>
      </c>
      <c r="AQ112" s="260">
        <v>0</v>
      </c>
      <c r="AR112" s="260">
        <v>0</v>
      </c>
      <c r="AS112" s="260">
        <v>0</v>
      </c>
      <c r="AT112" s="260">
        <v>0</v>
      </c>
      <c r="AU112" s="260">
        <v>0</v>
      </c>
      <c r="AV112" s="260">
        <v>0</v>
      </c>
      <c r="AW112" s="260">
        <v>0</v>
      </c>
      <c r="AX112" s="260">
        <v>0</v>
      </c>
      <c r="AY112" s="260">
        <v>0</v>
      </c>
      <c r="AZ112" s="260">
        <v>0</v>
      </c>
      <c r="BA112" s="260">
        <v>0</v>
      </c>
      <c r="BB112" s="260">
        <v>0</v>
      </c>
      <c r="BC112" s="260">
        <v>0</v>
      </c>
      <c r="BD112" s="260">
        <v>0</v>
      </c>
      <c r="BE112" s="260">
        <v>0</v>
      </c>
      <c r="BF112" s="260">
        <v>0</v>
      </c>
      <c r="BG112" s="260">
        <v>0</v>
      </c>
      <c r="BH112" s="260">
        <v>0</v>
      </c>
      <c r="BI112" s="260">
        <v>0</v>
      </c>
      <c r="BJ112" s="260">
        <v>0</v>
      </c>
      <c r="BK112" s="260">
        <v>0</v>
      </c>
      <c r="BL112" s="260">
        <v>0</v>
      </c>
      <c r="BM112" s="260">
        <v>0</v>
      </c>
      <c r="BN112" s="260">
        <v>0</v>
      </c>
      <c r="BO112" s="260">
        <v>0</v>
      </c>
      <c r="BP112" s="260">
        <v>0</v>
      </c>
      <c r="BQ112" s="260">
        <v>0</v>
      </c>
      <c r="BR112" s="260">
        <v>0</v>
      </c>
      <c r="BS112" s="260">
        <v>0</v>
      </c>
      <c r="BT112" s="260">
        <v>0</v>
      </c>
      <c r="BU112" s="260">
        <v>0</v>
      </c>
      <c r="BV112" s="260">
        <v>0</v>
      </c>
      <c r="BW112" s="260">
        <v>0</v>
      </c>
      <c r="BX112" s="260">
        <v>0</v>
      </c>
      <c r="BY112" s="260">
        <v>0</v>
      </c>
      <c r="BZ112" s="260">
        <v>0</v>
      </c>
      <c r="CA112" s="260">
        <v>0</v>
      </c>
      <c r="CB112" s="260">
        <v>0</v>
      </c>
      <c r="CC112" s="260">
        <v>0</v>
      </c>
      <c r="CD112" s="260">
        <v>0</v>
      </c>
      <c r="CE112" s="260">
        <v>0</v>
      </c>
      <c r="CF112" s="260">
        <v>0</v>
      </c>
      <c r="CG112" s="260">
        <v>0</v>
      </c>
      <c r="CH112" s="260">
        <v>0</v>
      </c>
    </row>
    <row r="113" spans="1:86" x14ac:dyDescent="0.25">
      <c r="A113" s="170">
        <v>2</v>
      </c>
      <c r="B113" s="170">
        <v>2</v>
      </c>
      <c r="C113" s="259">
        <v>0</v>
      </c>
      <c r="D113" s="259">
        <v>0</v>
      </c>
      <c r="E113" s="259">
        <v>0</v>
      </c>
      <c r="F113" s="259">
        <v>0</v>
      </c>
      <c r="G113" s="259">
        <v>0</v>
      </c>
      <c r="H113" s="259">
        <v>0</v>
      </c>
      <c r="I113" s="260">
        <v>0</v>
      </c>
      <c r="J113" s="260">
        <v>0</v>
      </c>
      <c r="K113" s="260">
        <v>0</v>
      </c>
      <c r="L113" s="260">
        <v>0</v>
      </c>
      <c r="M113" s="260">
        <v>0</v>
      </c>
      <c r="N113" s="260">
        <v>0</v>
      </c>
      <c r="O113" s="260">
        <v>0</v>
      </c>
      <c r="P113" s="260">
        <v>0</v>
      </c>
      <c r="Q113" s="260">
        <v>0</v>
      </c>
      <c r="R113" s="260">
        <v>0</v>
      </c>
      <c r="S113" s="260">
        <v>0</v>
      </c>
      <c r="T113" s="260">
        <v>0</v>
      </c>
      <c r="U113" s="260">
        <v>0</v>
      </c>
      <c r="V113" s="260">
        <v>0</v>
      </c>
      <c r="W113" s="260">
        <v>0</v>
      </c>
      <c r="X113" s="260">
        <v>0</v>
      </c>
      <c r="Y113" s="260">
        <v>0</v>
      </c>
      <c r="Z113" s="260">
        <v>0</v>
      </c>
      <c r="AA113" s="260">
        <v>0</v>
      </c>
      <c r="AB113" s="260">
        <v>0</v>
      </c>
      <c r="AC113" s="260">
        <v>0</v>
      </c>
      <c r="AD113" s="260">
        <v>0</v>
      </c>
      <c r="AE113" s="260">
        <v>0</v>
      </c>
      <c r="AF113" s="260">
        <v>0</v>
      </c>
      <c r="AG113" s="260">
        <v>0</v>
      </c>
      <c r="AH113" s="260">
        <v>0</v>
      </c>
      <c r="AI113" s="260">
        <v>0</v>
      </c>
      <c r="AJ113" s="260">
        <v>0</v>
      </c>
      <c r="AK113" s="260">
        <v>0</v>
      </c>
      <c r="AL113" s="260">
        <v>0</v>
      </c>
      <c r="AM113" s="260">
        <v>0</v>
      </c>
      <c r="AN113" s="260">
        <v>0</v>
      </c>
      <c r="AO113" s="260">
        <v>0</v>
      </c>
      <c r="AP113" s="260">
        <v>0</v>
      </c>
      <c r="AQ113" s="260">
        <v>0</v>
      </c>
      <c r="AR113" s="260">
        <v>0</v>
      </c>
      <c r="AS113" s="260">
        <v>0</v>
      </c>
      <c r="AT113" s="260">
        <v>0</v>
      </c>
      <c r="AU113" s="260">
        <v>0</v>
      </c>
      <c r="AV113" s="260">
        <v>0</v>
      </c>
      <c r="AW113" s="260">
        <v>0</v>
      </c>
      <c r="AX113" s="260">
        <v>0</v>
      </c>
      <c r="AY113" s="260">
        <v>0</v>
      </c>
      <c r="AZ113" s="260">
        <v>0</v>
      </c>
      <c r="BA113" s="260">
        <v>0</v>
      </c>
      <c r="BB113" s="260">
        <v>0</v>
      </c>
      <c r="BC113" s="260">
        <v>0</v>
      </c>
      <c r="BD113" s="260">
        <v>0</v>
      </c>
      <c r="BE113" s="260">
        <v>0</v>
      </c>
      <c r="BF113" s="260">
        <v>0</v>
      </c>
      <c r="BG113" s="260">
        <v>0</v>
      </c>
      <c r="BH113" s="260">
        <v>0</v>
      </c>
      <c r="BI113" s="260">
        <v>0</v>
      </c>
      <c r="BJ113" s="260">
        <v>0</v>
      </c>
      <c r="BK113" s="260">
        <v>0</v>
      </c>
      <c r="BL113" s="260">
        <v>0</v>
      </c>
      <c r="BM113" s="260">
        <v>0</v>
      </c>
      <c r="BN113" s="260">
        <v>0</v>
      </c>
      <c r="BO113" s="260">
        <v>0</v>
      </c>
      <c r="BP113" s="260">
        <v>0</v>
      </c>
      <c r="BQ113" s="260">
        <v>0</v>
      </c>
      <c r="BR113" s="260">
        <v>0</v>
      </c>
      <c r="BS113" s="260">
        <v>0</v>
      </c>
      <c r="BT113" s="260">
        <v>0</v>
      </c>
      <c r="BU113" s="260">
        <v>0</v>
      </c>
      <c r="BV113" s="260">
        <v>0</v>
      </c>
      <c r="BW113" s="260">
        <v>0</v>
      </c>
      <c r="BX113" s="260">
        <v>0</v>
      </c>
      <c r="BY113" s="260">
        <v>0</v>
      </c>
      <c r="BZ113" s="260">
        <v>0</v>
      </c>
      <c r="CA113" s="260">
        <v>0</v>
      </c>
      <c r="CB113" s="260">
        <v>0</v>
      </c>
      <c r="CC113" s="260">
        <v>0</v>
      </c>
      <c r="CD113" s="260">
        <v>0</v>
      </c>
      <c r="CE113" s="260">
        <v>0</v>
      </c>
      <c r="CF113" s="260">
        <v>0</v>
      </c>
      <c r="CG113" s="260">
        <v>0</v>
      </c>
      <c r="CH113" s="260">
        <v>0</v>
      </c>
    </row>
    <row r="114" spans="1:86" x14ac:dyDescent="0.25">
      <c r="A114" s="170">
        <v>2</v>
      </c>
      <c r="B114" s="170">
        <v>3</v>
      </c>
      <c r="C114" s="259">
        <v>0</v>
      </c>
      <c r="D114" s="259">
        <v>0</v>
      </c>
      <c r="E114" s="259">
        <v>0</v>
      </c>
      <c r="F114" s="259">
        <v>0</v>
      </c>
      <c r="G114" s="259">
        <v>0</v>
      </c>
      <c r="H114" s="259">
        <v>0</v>
      </c>
      <c r="I114" s="260">
        <v>0</v>
      </c>
      <c r="J114" s="260">
        <v>0</v>
      </c>
      <c r="K114" s="260">
        <v>0</v>
      </c>
      <c r="L114" s="260">
        <v>0</v>
      </c>
      <c r="M114" s="260">
        <v>0</v>
      </c>
      <c r="N114" s="260">
        <v>0</v>
      </c>
      <c r="O114" s="260">
        <v>0</v>
      </c>
      <c r="P114" s="260">
        <v>0</v>
      </c>
      <c r="Q114" s="260">
        <v>0</v>
      </c>
      <c r="R114" s="260">
        <v>0</v>
      </c>
      <c r="S114" s="260">
        <v>0</v>
      </c>
      <c r="T114" s="260">
        <v>0</v>
      </c>
      <c r="U114" s="260">
        <v>0</v>
      </c>
      <c r="V114" s="260">
        <v>0</v>
      </c>
      <c r="W114" s="260">
        <v>0</v>
      </c>
      <c r="X114" s="260">
        <v>0</v>
      </c>
      <c r="Y114" s="260">
        <v>0</v>
      </c>
      <c r="Z114" s="260">
        <v>0</v>
      </c>
      <c r="AA114" s="260">
        <v>0</v>
      </c>
      <c r="AB114" s="260">
        <v>0</v>
      </c>
      <c r="AC114" s="260">
        <v>0</v>
      </c>
      <c r="AD114" s="260">
        <v>0</v>
      </c>
      <c r="AE114" s="260">
        <v>0</v>
      </c>
      <c r="AF114" s="260">
        <v>0</v>
      </c>
      <c r="AG114" s="260">
        <v>0</v>
      </c>
      <c r="AH114" s="260">
        <v>0</v>
      </c>
      <c r="AI114" s="260">
        <v>0</v>
      </c>
      <c r="AJ114" s="260">
        <v>0</v>
      </c>
      <c r="AK114" s="260">
        <v>0</v>
      </c>
      <c r="AL114" s="260">
        <v>0</v>
      </c>
      <c r="AM114" s="260">
        <v>0</v>
      </c>
      <c r="AN114" s="260">
        <v>0</v>
      </c>
      <c r="AO114" s="260">
        <v>0</v>
      </c>
      <c r="AP114" s="260">
        <v>0</v>
      </c>
      <c r="AQ114" s="260">
        <v>0</v>
      </c>
      <c r="AR114" s="260">
        <v>0</v>
      </c>
      <c r="AS114" s="260">
        <v>0</v>
      </c>
      <c r="AT114" s="260">
        <v>0</v>
      </c>
      <c r="AU114" s="260">
        <v>0</v>
      </c>
      <c r="AV114" s="260">
        <v>0</v>
      </c>
      <c r="AW114" s="260">
        <v>0</v>
      </c>
      <c r="AX114" s="260">
        <v>0</v>
      </c>
      <c r="AY114" s="260">
        <v>0</v>
      </c>
      <c r="AZ114" s="260">
        <v>0</v>
      </c>
      <c r="BA114" s="260">
        <v>0</v>
      </c>
      <c r="BB114" s="260">
        <v>0</v>
      </c>
      <c r="BC114" s="260">
        <v>0</v>
      </c>
      <c r="BD114" s="260">
        <v>0</v>
      </c>
      <c r="BE114" s="260">
        <v>0</v>
      </c>
      <c r="BF114" s="260">
        <v>0</v>
      </c>
      <c r="BG114" s="260">
        <v>0</v>
      </c>
      <c r="BH114" s="260">
        <v>0</v>
      </c>
      <c r="BI114" s="260">
        <v>0</v>
      </c>
      <c r="BJ114" s="260">
        <v>0</v>
      </c>
      <c r="BK114" s="260">
        <v>0</v>
      </c>
      <c r="BL114" s="260">
        <v>0</v>
      </c>
      <c r="BM114" s="260">
        <v>0</v>
      </c>
      <c r="BN114" s="260">
        <v>0</v>
      </c>
      <c r="BO114" s="260">
        <v>0</v>
      </c>
      <c r="BP114" s="260">
        <v>0</v>
      </c>
      <c r="BQ114" s="260">
        <v>0</v>
      </c>
      <c r="BR114" s="260">
        <v>0</v>
      </c>
      <c r="BS114" s="260">
        <v>0</v>
      </c>
      <c r="BT114" s="260">
        <v>0</v>
      </c>
      <c r="BU114" s="260">
        <v>0</v>
      </c>
      <c r="BV114" s="260">
        <v>0</v>
      </c>
      <c r="BW114" s="260">
        <v>0</v>
      </c>
      <c r="BX114" s="260">
        <v>0</v>
      </c>
      <c r="BY114" s="260">
        <v>0</v>
      </c>
      <c r="BZ114" s="260">
        <v>0</v>
      </c>
      <c r="CA114" s="260">
        <v>0</v>
      </c>
      <c r="CB114" s="260">
        <v>0</v>
      </c>
      <c r="CC114" s="260">
        <v>0</v>
      </c>
      <c r="CD114" s="260">
        <v>0</v>
      </c>
      <c r="CE114" s="260">
        <v>0</v>
      </c>
      <c r="CF114" s="260">
        <v>0</v>
      </c>
      <c r="CG114" s="260">
        <v>0</v>
      </c>
      <c r="CH114" s="260">
        <v>0</v>
      </c>
    </row>
    <row r="115" spans="1:86" x14ac:dyDescent="0.25">
      <c r="A115" s="170">
        <v>2</v>
      </c>
      <c r="B115" s="170">
        <v>4</v>
      </c>
      <c r="C115" s="259">
        <v>0</v>
      </c>
      <c r="D115" s="259">
        <v>0</v>
      </c>
      <c r="E115" s="259">
        <v>0</v>
      </c>
      <c r="F115" s="259">
        <v>0</v>
      </c>
      <c r="G115" s="259">
        <v>0</v>
      </c>
      <c r="H115" s="259">
        <v>0</v>
      </c>
      <c r="I115" s="260">
        <v>0</v>
      </c>
      <c r="J115" s="260">
        <v>0</v>
      </c>
      <c r="K115" s="260">
        <v>0</v>
      </c>
      <c r="L115" s="260">
        <v>0</v>
      </c>
      <c r="M115" s="260">
        <v>0</v>
      </c>
      <c r="N115" s="260">
        <v>0</v>
      </c>
      <c r="O115" s="260">
        <v>0</v>
      </c>
      <c r="P115" s="260">
        <v>0</v>
      </c>
      <c r="Q115" s="260">
        <v>0</v>
      </c>
      <c r="R115" s="260">
        <v>0</v>
      </c>
      <c r="S115" s="260">
        <v>0</v>
      </c>
      <c r="T115" s="260">
        <v>0</v>
      </c>
      <c r="U115" s="260">
        <v>0</v>
      </c>
      <c r="V115" s="260">
        <v>0</v>
      </c>
      <c r="W115" s="260">
        <v>0</v>
      </c>
      <c r="X115" s="260">
        <v>0</v>
      </c>
      <c r="Y115" s="260">
        <v>0</v>
      </c>
      <c r="Z115" s="260">
        <v>0</v>
      </c>
      <c r="AA115" s="260">
        <v>0</v>
      </c>
      <c r="AB115" s="260">
        <v>0</v>
      </c>
      <c r="AC115" s="260">
        <v>0</v>
      </c>
      <c r="AD115" s="260">
        <v>0</v>
      </c>
      <c r="AE115" s="260">
        <v>0</v>
      </c>
      <c r="AF115" s="260">
        <v>0</v>
      </c>
      <c r="AG115" s="260">
        <v>0</v>
      </c>
      <c r="AH115" s="260">
        <v>0</v>
      </c>
      <c r="AI115" s="260">
        <v>0</v>
      </c>
      <c r="AJ115" s="260">
        <v>0</v>
      </c>
      <c r="AK115" s="260">
        <v>0</v>
      </c>
      <c r="AL115" s="260">
        <v>0</v>
      </c>
      <c r="AM115" s="260">
        <v>0</v>
      </c>
      <c r="AN115" s="260">
        <v>0</v>
      </c>
      <c r="AO115" s="260">
        <v>0</v>
      </c>
      <c r="AP115" s="260">
        <v>0</v>
      </c>
      <c r="AQ115" s="260">
        <v>0</v>
      </c>
      <c r="AR115" s="260">
        <v>0</v>
      </c>
      <c r="AS115" s="260">
        <v>0</v>
      </c>
      <c r="AT115" s="260">
        <v>0</v>
      </c>
      <c r="AU115" s="260">
        <v>0</v>
      </c>
      <c r="AV115" s="260">
        <v>0</v>
      </c>
      <c r="AW115" s="260">
        <v>0</v>
      </c>
      <c r="AX115" s="260">
        <v>0</v>
      </c>
      <c r="AY115" s="260">
        <v>0</v>
      </c>
      <c r="AZ115" s="260">
        <v>0</v>
      </c>
      <c r="BA115" s="260">
        <v>0</v>
      </c>
      <c r="BB115" s="260">
        <v>0</v>
      </c>
      <c r="BC115" s="260">
        <v>0</v>
      </c>
      <c r="BD115" s="260">
        <v>0</v>
      </c>
      <c r="BE115" s="260">
        <v>0</v>
      </c>
      <c r="BF115" s="260">
        <v>0</v>
      </c>
      <c r="BG115" s="260">
        <v>0</v>
      </c>
      <c r="BH115" s="260">
        <v>0</v>
      </c>
      <c r="BI115" s="260">
        <v>0</v>
      </c>
      <c r="BJ115" s="260">
        <v>0</v>
      </c>
      <c r="BK115" s="260">
        <v>0</v>
      </c>
      <c r="BL115" s="260">
        <v>0</v>
      </c>
      <c r="BM115" s="260">
        <v>0</v>
      </c>
      <c r="BN115" s="260">
        <v>0</v>
      </c>
      <c r="BO115" s="260">
        <v>0</v>
      </c>
      <c r="BP115" s="260">
        <v>0</v>
      </c>
      <c r="BQ115" s="260">
        <v>0</v>
      </c>
      <c r="BR115" s="260">
        <v>0</v>
      </c>
      <c r="BS115" s="260">
        <v>0</v>
      </c>
      <c r="BT115" s="260">
        <v>0</v>
      </c>
      <c r="BU115" s="260">
        <v>0</v>
      </c>
      <c r="BV115" s="260">
        <v>0</v>
      </c>
      <c r="BW115" s="260">
        <v>0</v>
      </c>
      <c r="BX115" s="260">
        <v>0</v>
      </c>
      <c r="BY115" s="260">
        <v>0</v>
      </c>
      <c r="BZ115" s="260">
        <v>0</v>
      </c>
      <c r="CA115" s="260">
        <v>0</v>
      </c>
      <c r="CB115" s="260">
        <v>0</v>
      </c>
      <c r="CC115" s="260">
        <v>0</v>
      </c>
      <c r="CD115" s="260">
        <v>0</v>
      </c>
      <c r="CE115" s="260">
        <v>0</v>
      </c>
      <c r="CF115" s="260">
        <v>0</v>
      </c>
      <c r="CG115" s="260">
        <v>0</v>
      </c>
      <c r="CH115" s="260">
        <v>0</v>
      </c>
    </row>
    <row r="116" spans="1:86" x14ac:dyDescent="0.25">
      <c r="A116" s="170">
        <v>2</v>
      </c>
      <c r="B116" s="170">
        <v>5</v>
      </c>
      <c r="C116" s="259">
        <v>0</v>
      </c>
      <c r="D116" s="259">
        <v>0</v>
      </c>
      <c r="E116" s="259">
        <v>0</v>
      </c>
      <c r="F116" s="259">
        <v>0</v>
      </c>
      <c r="G116" s="259">
        <v>0</v>
      </c>
      <c r="H116" s="259">
        <v>0</v>
      </c>
      <c r="I116" s="260">
        <v>0</v>
      </c>
      <c r="J116" s="260">
        <v>0</v>
      </c>
      <c r="K116" s="260">
        <v>0</v>
      </c>
      <c r="L116" s="260">
        <v>0</v>
      </c>
      <c r="M116" s="260">
        <v>0</v>
      </c>
      <c r="N116" s="260">
        <v>0</v>
      </c>
      <c r="O116" s="260">
        <v>0</v>
      </c>
      <c r="P116" s="260">
        <v>0</v>
      </c>
      <c r="Q116" s="260">
        <v>0</v>
      </c>
      <c r="R116" s="260">
        <v>0</v>
      </c>
      <c r="S116" s="260">
        <v>0</v>
      </c>
      <c r="T116" s="260">
        <v>0</v>
      </c>
      <c r="U116" s="260">
        <v>0</v>
      </c>
      <c r="V116" s="260">
        <v>0</v>
      </c>
      <c r="W116" s="260">
        <v>0</v>
      </c>
      <c r="X116" s="260">
        <v>0</v>
      </c>
      <c r="Y116" s="260">
        <v>0</v>
      </c>
      <c r="Z116" s="260">
        <v>0</v>
      </c>
      <c r="AA116" s="260">
        <v>0</v>
      </c>
      <c r="AB116" s="260">
        <v>0</v>
      </c>
      <c r="AC116" s="260">
        <v>0</v>
      </c>
      <c r="AD116" s="260">
        <v>0</v>
      </c>
      <c r="AE116" s="260">
        <v>0</v>
      </c>
      <c r="AF116" s="260">
        <v>0</v>
      </c>
      <c r="AG116" s="260">
        <v>0</v>
      </c>
      <c r="AH116" s="260">
        <v>0</v>
      </c>
      <c r="AI116" s="260">
        <v>0</v>
      </c>
      <c r="AJ116" s="260">
        <v>0</v>
      </c>
      <c r="AK116" s="260">
        <v>0</v>
      </c>
      <c r="AL116" s="260">
        <v>0</v>
      </c>
      <c r="AM116" s="260">
        <v>0</v>
      </c>
      <c r="AN116" s="260">
        <v>0</v>
      </c>
      <c r="AO116" s="260">
        <v>0</v>
      </c>
      <c r="AP116" s="260">
        <v>0</v>
      </c>
      <c r="AQ116" s="260">
        <v>0</v>
      </c>
      <c r="AR116" s="260">
        <v>0</v>
      </c>
      <c r="AS116" s="260">
        <v>0</v>
      </c>
      <c r="AT116" s="260">
        <v>0</v>
      </c>
      <c r="AU116" s="260">
        <v>0</v>
      </c>
      <c r="AV116" s="260">
        <v>0</v>
      </c>
      <c r="AW116" s="260">
        <v>0</v>
      </c>
      <c r="AX116" s="260">
        <v>0</v>
      </c>
      <c r="AY116" s="260">
        <v>0</v>
      </c>
      <c r="AZ116" s="260">
        <v>0</v>
      </c>
      <c r="BA116" s="260">
        <v>0</v>
      </c>
      <c r="BB116" s="260">
        <v>0</v>
      </c>
      <c r="BC116" s="260">
        <v>0</v>
      </c>
      <c r="BD116" s="260">
        <v>0</v>
      </c>
      <c r="BE116" s="260">
        <v>0</v>
      </c>
      <c r="BF116" s="260">
        <v>0</v>
      </c>
      <c r="BG116" s="260">
        <v>0</v>
      </c>
      <c r="BH116" s="260">
        <v>0</v>
      </c>
      <c r="BI116" s="260">
        <v>0</v>
      </c>
      <c r="BJ116" s="260">
        <v>0</v>
      </c>
      <c r="BK116" s="260">
        <v>0</v>
      </c>
      <c r="BL116" s="260">
        <v>0</v>
      </c>
      <c r="BM116" s="260">
        <v>0</v>
      </c>
      <c r="BN116" s="260">
        <v>0</v>
      </c>
      <c r="BO116" s="260">
        <v>0</v>
      </c>
      <c r="BP116" s="260">
        <v>0</v>
      </c>
      <c r="BQ116" s="260">
        <v>0</v>
      </c>
      <c r="BR116" s="260">
        <v>0</v>
      </c>
      <c r="BS116" s="260">
        <v>0</v>
      </c>
      <c r="BT116" s="260">
        <v>0</v>
      </c>
      <c r="BU116" s="260">
        <v>0</v>
      </c>
      <c r="BV116" s="260">
        <v>0</v>
      </c>
      <c r="BW116" s="260">
        <v>0</v>
      </c>
      <c r="BX116" s="260">
        <v>0</v>
      </c>
      <c r="BY116" s="260">
        <v>0</v>
      </c>
      <c r="BZ116" s="260">
        <v>0</v>
      </c>
      <c r="CA116" s="260">
        <v>0</v>
      </c>
      <c r="CB116" s="260">
        <v>0</v>
      </c>
      <c r="CC116" s="260">
        <v>0</v>
      </c>
      <c r="CD116" s="260">
        <v>0</v>
      </c>
      <c r="CE116" s="260">
        <v>0</v>
      </c>
      <c r="CF116" s="260">
        <v>0</v>
      </c>
      <c r="CG116" s="260">
        <v>0</v>
      </c>
      <c r="CH116" s="260">
        <v>0</v>
      </c>
    </row>
    <row r="117" spans="1:86" x14ac:dyDescent="0.25">
      <c r="A117" s="170">
        <v>2</v>
      </c>
      <c r="B117" s="170">
        <v>6</v>
      </c>
      <c r="C117" s="259">
        <v>0</v>
      </c>
      <c r="D117" s="259">
        <v>0</v>
      </c>
      <c r="E117" s="259">
        <v>0</v>
      </c>
      <c r="F117" s="259">
        <v>0</v>
      </c>
      <c r="G117" s="259">
        <v>0</v>
      </c>
      <c r="H117" s="259">
        <v>0</v>
      </c>
      <c r="I117" s="260">
        <v>0</v>
      </c>
      <c r="J117" s="260">
        <v>0</v>
      </c>
      <c r="K117" s="260">
        <v>0</v>
      </c>
      <c r="L117" s="260">
        <v>0</v>
      </c>
      <c r="M117" s="260">
        <v>0</v>
      </c>
      <c r="N117" s="260">
        <v>0</v>
      </c>
      <c r="O117" s="260">
        <v>0</v>
      </c>
      <c r="P117" s="260">
        <v>0</v>
      </c>
      <c r="Q117" s="260">
        <v>0</v>
      </c>
      <c r="R117" s="260">
        <v>0</v>
      </c>
      <c r="S117" s="260">
        <v>0</v>
      </c>
      <c r="T117" s="260">
        <v>0</v>
      </c>
      <c r="U117" s="260">
        <v>0</v>
      </c>
      <c r="V117" s="260">
        <v>0</v>
      </c>
      <c r="W117" s="260">
        <v>0</v>
      </c>
      <c r="X117" s="260">
        <v>0</v>
      </c>
      <c r="Y117" s="260">
        <v>0</v>
      </c>
      <c r="Z117" s="260">
        <v>0</v>
      </c>
      <c r="AA117" s="260">
        <v>0</v>
      </c>
      <c r="AB117" s="260">
        <v>0</v>
      </c>
      <c r="AC117" s="260">
        <v>0</v>
      </c>
      <c r="AD117" s="260">
        <v>0</v>
      </c>
      <c r="AE117" s="260">
        <v>0</v>
      </c>
      <c r="AF117" s="260">
        <v>0</v>
      </c>
      <c r="AG117" s="260">
        <v>0</v>
      </c>
      <c r="AH117" s="260">
        <v>0</v>
      </c>
      <c r="AI117" s="260">
        <v>0</v>
      </c>
      <c r="AJ117" s="260">
        <v>0</v>
      </c>
      <c r="AK117" s="260">
        <v>0</v>
      </c>
      <c r="AL117" s="260">
        <v>0</v>
      </c>
      <c r="AM117" s="260">
        <v>0</v>
      </c>
      <c r="AN117" s="260">
        <v>0</v>
      </c>
      <c r="AO117" s="260">
        <v>0</v>
      </c>
      <c r="AP117" s="260">
        <v>0</v>
      </c>
      <c r="AQ117" s="260">
        <v>0</v>
      </c>
      <c r="AR117" s="260">
        <v>0</v>
      </c>
      <c r="AS117" s="260">
        <v>0</v>
      </c>
      <c r="AT117" s="260">
        <v>0</v>
      </c>
      <c r="AU117" s="260">
        <v>0</v>
      </c>
      <c r="AV117" s="260">
        <v>0</v>
      </c>
      <c r="AW117" s="260">
        <v>0</v>
      </c>
      <c r="AX117" s="260">
        <v>0</v>
      </c>
      <c r="AY117" s="260">
        <v>0</v>
      </c>
      <c r="AZ117" s="260">
        <v>0</v>
      </c>
      <c r="BA117" s="260">
        <v>0</v>
      </c>
      <c r="BB117" s="260">
        <v>0</v>
      </c>
      <c r="BC117" s="260">
        <v>0</v>
      </c>
      <c r="BD117" s="260">
        <v>0</v>
      </c>
      <c r="BE117" s="260">
        <v>0</v>
      </c>
      <c r="BF117" s="260">
        <v>0</v>
      </c>
      <c r="BG117" s="260">
        <v>0</v>
      </c>
      <c r="BH117" s="260">
        <v>0</v>
      </c>
      <c r="BI117" s="260">
        <v>0</v>
      </c>
      <c r="BJ117" s="260">
        <v>0</v>
      </c>
      <c r="BK117" s="260">
        <v>0</v>
      </c>
      <c r="BL117" s="260">
        <v>0</v>
      </c>
      <c r="BM117" s="260">
        <v>0</v>
      </c>
      <c r="BN117" s="260">
        <v>0</v>
      </c>
      <c r="BO117" s="260">
        <v>0</v>
      </c>
      <c r="BP117" s="260">
        <v>0</v>
      </c>
      <c r="BQ117" s="260">
        <v>0</v>
      </c>
      <c r="BR117" s="260">
        <v>0</v>
      </c>
      <c r="BS117" s="260">
        <v>0</v>
      </c>
      <c r="BT117" s="260">
        <v>0</v>
      </c>
      <c r="BU117" s="260">
        <v>0</v>
      </c>
      <c r="BV117" s="260">
        <v>0</v>
      </c>
      <c r="BW117" s="260">
        <v>0</v>
      </c>
      <c r="BX117" s="260">
        <v>0</v>
      </c>
      <c r="BY117" s="260">
        <v>0</v>
      </c>
      <c r="BZ117" s="260">
        <v>0</v>
      </c>
      <c r="CA117" s="260">
        <v>0</v>
      </c>
      <c r="CB117" s="260">
        <v>0</v>
      </c>
      <c r="CC117" s="260">
        <v>0</v>
      </c>
      <c r="CD117" s="260">
        <v>0</v>
      </c>
      <c r="CE117" s="260">
        <v>0</v>
      </c>
      <c r="CF117" s="260">
        <v>0</v>
      </c>
      <c r="CG117" s="260">
        <v>0</v>
      </c>
      <c r="CH117" s="260">
        <v>0</v>
      </c>
    </row>
    <row r="118" spans="1:86" x14ac:dyDescent="0.25">
      <c r="A118" s="170">
        <v>2</v>
      </c>
      <c r="B118" s="170">
        <v>7</v>
      </c>
      <c r="C118" s="259">
        <v>0</v>
      </c>
      <c r="D118" s="259">
        <v>0</v>
      </c>
      <c r="E118" s="259">
        <v>0</v>
      </c>
      <c r="F118" s="259">
        <v>0</v>
      </c>
      <c r="G118" s="259">
        <v>0</v>
      </c>
      <c r="H118" s="259">
        <v>0</v>
      </c>
      <c r="I118" s="260">
        <v>0</v>
      </c>
      <c r="J118" s="260">
        <v>0</v>
      </c>
      <c r="K118" s="260">
        <v>0</v>
      </c>
      <c r="L118" s="260">
        <v>0</v>
      </c>
      <c r="M118" s="260">
        <v>0</v>
      </c>
      <c r="N118" s="260">
        <v>0</v>
      </c>
      <c r="O118" s="260">
        <v>0</v>
      </c>
      <c r="P118" s="260">
        <v>0</v>
      </c>
      <c r="Q118" s="260">
        <v>0</v>
      </c>
      <c r="R118" s="260">
        <v>0</v>
      </c>
      <c r="S118" s="260">
        <v>0</v>
      </c>
      <c r="T118" s="260">
        <v>0</v>
      </c>
      <c r="U118" s="260">
        <v>0</v>
      </c>
      <c r="V118" s="260">
        <v>0</v>
      </c>
      <c r="W118" s="260">
        <v>0</v>
      </c>
      <c r="X118" s="260">
        <v>0</v>
      </c>
      <c r="Y118" s="260">
        <v>0</v>
      </c>
      <c r="Z118" s="260">
        <v>0</v>
      </c>
      <c r="AA118" s="260">
        <v>0</v>
      </c>
      <c r="AB118" s="260">
        <v>0</v>
      </c>
      <c r="AC118" s="260">
        <v>0</v>
      </c>
      <c r="AD118" s="260">
        <v>0</v>
      </c>
      <c r="AE118" s="260">
        <v>0</v>
      </c>
      <c r="AF118" s="260">
        <v>0</v>
      </c>
      <c r="AG118" s="260">
        <v>0</v>
      </c>
      <c r="AH118" s="260">
        <v>0</v>
      </c>
      <c r="AI118" s="260">
        <v>0</v>
      </c>
      <c r="AJ118" s="260">
        <v>0</v>
      </c>
      <c r="AK118" s="260">
        <v>0</v>
      </c>
      <c r="AL118" s="260">
        <v>0</v>
      </c>
      <c r="AM118" s="260">
        <v>0</v>
      </c>
      <c r="AN118" s="260">
        <v>0</v>
      </c>
      <c r="AO118" s="260">
        <v>0</v>
      </c>
      <c r="AP118" s="260">
        <v>0</v>
      </c>
      <c r="AQ118" s="260">
        <v>0</v>
      </c>
      <c r="AR118" s="260">
        <v>0</v>
      </c>
      <c r="AS118" s="260">
        <v>0</v>
      </c>
      <c r="AT118" s="260">
        <v>0</v>
      </c>
      <c r="AU118" s="260">
        <v>0</v>
      </c>
      <c r="AV118" s="260">
        <v>0</v>
      </c>
      <c r="AW118" s="260">
        <v>0</v>
      </c>
      <c r="AX118" s="260">
        <v>0</v>
      </c>
      <c r="AY118" s="260">
        <v>0</v>
      </c>
      <c r="AZ118" s="260">
        <v>0</v>
      </c>
      <c r="BA118" s="260">
        <v>0</v>
      </c>
      <c r="BB118" s="260">
        <v>0</v>
      </c>
      <c r="BC118" s="260">
        <v>0</v>
      </c>
      <c r="BD118" s="260">
        <v>0</v>
      </c>
      <c r="BE118" s="260">
        <v>0</v>
      </c>
      <c r="BF118" s="260">
        <v>0</v>
      </c>
      <c r="BG118" s="260">
        <v>0</v>
      </c>
      <c r="BH118" s="260">
        <v>0</v>
      </c>
      <c r="BI118" s="260">
        <v>0</v>
      </c>
      <c r="BJ118" s="260">
        <v>0</v>
      </c>
      <c r="BK118" s="260">
        <v>0</v>
      </c>
      <c r="BL118" s="260">
        <v>0</v>
      </c>
      <c r="BM118" s="260">
        <v>0</v>
      </c>
      <c r="BN118" s="260">
        <v>0</v>
      </c>
      <c r="BO118" s="260">
        <v>0</v>
      </c>
      <c r="BP118" s="260">
        <v>0</v>
      </c>
      <c r="BQ118" s="260">
        <v>0</v>
      </c>
      <c r="BR118" s="260">
        <v>0</v>
      </c>
      <c r="BS118" s="260">
        <v>0</v>
      </c>
      <c r="BT118" s="260">
        <v>0</v>
      </c>
      <c r="BU118" s="260">
        <v>0</v>
      </c>
      <c r="BV118" s="260">
        <v>0</v>
      </c>
      <c r="BW118" s="260">
        <v>0</v>
      </c>
      <c r="BX118" s="260">
        <v>0</v>
      </c>
      <c r="BY118" s="260">
        <v>0</v>
      </c>
      <c r="BZ118" s="260">
        <v>0</v>
      </c>
      <c r="CA118" s="260">
        <v>0</v>
      </c>
      <c r="CB118" s="260">
        <v>0</v>
      </c>
      <c r="CC118" s="260">
        <v>0</v>
      </c>
      <c r="CD118" s="260">
        <v>0</v>
      </c>
      <c r="CE118" s="260">
        <v>0</v>
      </c>
      <c r="CF118" s="260">
        <v>0</v>
      </c>
      <c r="CG118" s="260">
        <v>0</v>
      </c>
      <c r="CH118" s="260">
        <v>0</v>
      </c>
    </row>
    <row r="119" spans="1:86" x14ac:dyDescent="0.25">
      <c r="A119" s="170">
        <v>2</v>
      </c>
      <c r="B119" s="170">
        <v>8</v>
      </c>
      <c r="C119" s="259">
        <v>0</v>
      </c>
      <c r="D119" s="259">
        <v>0</v>
      </c>
      <c r="E119" s="259">
        <v>0</v>
      </c>
      <c r="F119" s="259">
        <v>0</v>
      </c>
      <c r="G119" s="259">
        <v>0</v>
      </c>
      <c r="H119" s="259">
        <v>0</v>
      </c>
      <c r="I119" s="260">
        <v>0</v>
      </c>
      <c r="J119" s="260">
        <v>0</v>
      </c>
      <c r="K119" s="260">
        <v>0</v>
      </c>
      <c r="L119" s="260">
        <v>0</v>
      </c>
      <c r="M119" s="260">
        <v>0</v>
      </c>
      <c r="N119" s="260">
        <v>0</v>
      </c>
      <c r="O119" s="260">
        <v>0</v>
      </c>
      <c r="P119" s="260">
        <v>0</v>
      </c>
      <c r="Q119" s="260">
        <v>0</v>
      </c>
      <c r="R119" s="260">
        <v>0</v>
      </c>
      <c r="S119" s="260">
        <v>0</v>
      </c>
      <c r="T119" s="260">
        <v>0</v>
      </c>
      <c r="U119" s="260">
        <v>0</v>
      </c>
      <c r="V119" s="260">
        <v>0</v>
      </c>
      <c r="W119" s="260">
        <v>0</v>
      </c>
      <c r="X119" s="260">
        <v>0</v>
      </c>
      <c r="Y119" s="260">
        <v>0</v>
      </c>
      <c r="Z119" s="260">
        <v>0</v>
      </c>
      <c r="AA119" s="260">
        <v>0</v>
      </c>
      <c r="AB119" s="260">
        <v>0</v>
      </c>
      <c r="AC119" s="260">
        <v>0</v>
      </c>
      <c r="AD119" s="260">
        <v>0</v>
      </c>
      <c r="AE119" s="260">
        <v>0</v>
      </c>
      <c r="AF119" s="260">
        <v>0</v>
      </c>
      <c r="AG119" s="260">
        <v>0</v>
      </c>
      <c r="AH119" s="260">
        <v>0</v>
      </c>
      <c r="AI119" s="260">
        <v>0</v>
      </c>
      <c r="AJ119" s="260">
        <v>0</v>
      </c>
      <c r="AK119" s="260">
        <v>0</v>
      </c>
      <c r="AL119" s="260">
        <v>0</v>
      </c>
      <c r="AM119" s="260">
        <v>0</v>
      </c>
      <c r="AN119" s="260">
        <v>0</v>
      </c>
      <c r="AO119" s="260">
        <v>0</v>
      </c>
      <c r="AP119" s="260">
        <v>0</v>
      </c>
      <c r="AQ119" s="260">
        <v>0</v>
      </c>
      <c r="AR119" s="260">
        <v>0</v>
      </c>
      <c r="AS119" s="260">
        <v>0</v>
      </c>
      <c r="AT119" s="260">
        <v>0</v>
      </c>
      <c r="AU119" s="260">
        <v>0</v>
      </c>
      <c r="AV119" s="260">
        <v>0</v>
      </c>
      <c r="AW119" s="260">
        <v>0</v>
      </c>
      <c r="AX119" s="260">
        <v>0</v>
      </c>
      <c r="AY119" s="260">
        <v>0</v>
      </c>
      <c r="AZ119" s="260">
        <v>0</v>
      </c>
      <c r="BA119" s="260">
        <v>0</v>
      </c>
      <c r="BB119" s="260">
        <v>0</v>
      </c>
      <c r="BC119" s="260">
        <v>0</v>
      </c>
      <c r="BD119" s="260">
        <v>0</v>
      </c>
      <c r="BE119" s="260">
        <v>0</v>
      </c>
      <c r="BF119" s="260">
        <v>0</v>
      </c>
      <c r="BG119" s="260">
        <v>0</v>
      </c>
      <c r="BH119" s="260">
        <v>0</v>
      </c>
      <c r="BI119" s="260">
        <v>0</v>
      </c>
      <c r="BJ119" s="260">
        <v>0</v>
      </c>
      <c r="BK119" s="260">
        <v>0</v>
      </c>
      <c r="BL119" s="260">
        <v>0</v>
      </c>
      <c r="BM119" s="260">
        <v>0</v>
      </c>
      <c r="BN119" s="260">
        <v>0</v>
      </c>
      <c r="BO119" s="260">
        <v>0</v>
      </c>
      <c r="BP119" s="260">
        <v>0</v>
      </c>
      <c r="BQ119" s="260">
        <v>0</v>
      </c>
      <c r="BR119" s="260">
        <v>0</v>
      </c>
      <c r="BS119" s="260">
        <v>0</v>
      </c>
      <c r="BT119" s="260">
        <v>0</v>
      </c>
      <c r="BU119" s="260">
        <v>0</v>
      </c>
      <c r="BV119" s="260">
        <v>0</v>
      </c>
      <c r="BW119" s="260">
        <v>0</v>
      </c>
      <c r="BX119" s="260">
        <v>0</v>
      </c>
      <c r="BY119" s="260">
        <v>0</v>
      </c>
      <c r="BZ119" s="260">
        <v>0</v>
      </c>
      <c r="CA119" s="260">
        <v>0</v>
      </c>
      <c r="CB119" s="260">
        <v>0</v>
      </c>
      <c r="CC119" s="260">
        <v>0</v>
      </c>
      <c r="CD119" s="260">
        <v>0</v>
      </c>
      <c r="CE119" s="260">
        <v>0</v>
      </c>
      <c r="CF119" s="260">
        <v>0</v>
      </c>
      <c r="CG119" s="260">
        <v>0</v>
      </c>
      <c r="CH119" s="260">
        <v>0</v>
      </c>
    </row>
    <row r="120" spans="1:86" x14ac:dyDescent="0.25">
      <c r="A120" s="170">
        <v>2</v>
      </c>
      <c r="B120" s="170">
        <v>9</v>
      </c>
      <c r="C120" s="259">
        <v>0</v>
      </c>
      <c r="D120" s="259">
        <v>0</v>
      </c>
      <c r="E120" s="259">
        <v>0</v>
      </c>
      <c r="F120" s="259">
        <v>0</v>
      </c>
      <c r="G120" s="259">
        <v>0</v>
      </c>
      <c r="H120" s="259">
        <v>0</v>
      </c>
      <c r="I120" s="260">
        <v>0</v>
      </c>
      <c r="J120" s="260">
        <v>0</v>
      </c>
      <c r="K120" s="260">
        <v>0</v>
      </c>
      <c r="L120" s="260">
        <v>0</v>
      </c>
      <c r="M120" s="260">
        <v>0</v>
      </c>
      <c r="N120" s="260">
        <v>0</v>
      </c>
      <c r="O120" s="260">
        <v>0</v>
      </c>
      <c r="P120" s="260">
        <v>0</v>
      </c>
      <c r="Q120" s="260">
        <v>0</v>
      </c>
      <c r="R120" s="260">
        <v>0</v>
      </c>
      <c r="S120" s="260">
        <v>0</v>
      </c>
      <c r="T120" s="260">
        <v>0</v>
      </c>
      <c r="U120" s="260">
        <v>0</v>
      </c>
      <c r="V120" s="260">
        <v>0</v>
      </c>
      <c r="W120" s="260">
        <v>0</v>
      </c>
      <c r="X120" s="260">
        <v>0</v>
      </c>
      <c r="Y120" s="260">
        <v>0</v>
      </c>
      <c r="Z120" s="260">
        <v>0</v>
      </c>
      <c r="AA120" s="260">
        <v>0</v>
      </c>
      <c r="AB120" s="260">
        <v>0</v>
      </c>
      <c r="AC120" s="260">
        <v>0</v>
      </c>
      <c r="AD120" s="260">
        <v>0</v>
      </c>
      <c r="AE120" s="260">
        <v>0</v>
      </c>
      <c r="AF120" s="260">
        <v>0</v>
      </c>
      <c r="AG120" s="260">
        <v>0</v>
      </c>
      <c r="AH120" s="260">
        <v>0</v>
      </c>
      <c r="AI120" s="260">
        <v>0</v>
      </c>
      <c r="AJ120" s="260">
        <v>0</v>
      </c>
      <c r="AK120" s="260">
        <v>0</v>
      </c>
      <c r="AL120" s="260">
        <v>0</v>
      </c>
      <c r="AM120" s="260">
        <v>0</v>
      </c>
      <c r="AN120" s="260">
        <v>0</v>
      </c>
      <c r="AO120" s="260">
        <v>0</v>
      </c>
      <c r="AP120" s="260">
        <v>0</v>
      </c>
      <c r="AQ120" s="260">
        <v>0</v>
      </c>
      <c r="AR120" s="260">
        <v>0</v>
      </c>
      <c r="AS120" s="260">
        <v>0</v>
      </c>
      <c r="AT120" s="260">
        <v>0</v>
      </c>
      <c r="AU120" s="260">
        <v>0</v>
      </c>
      <c r="AV120" s="260">
        <v>0</v>
      </c>
      <c r="AW120" s="260">
        <v>0</v>
      </c>
      <c r="AX120" s="260">
        <v>0</v>
      </c>
      <c r="AY120" s="260">
        <v>0</v>
      </c>
      <c r="AZ120" s="260">
        <v>0</v>
      </c>
      <c r="BA120" s="260">
        <v>0</v>
      </c>
      <c r="BB120" s="260">
        <v>0</v>
      </c>
      <c r="BC120" s="260">
        <v>0</v>
      </c>
      <c r="BD120" s="260">
        <v>0</v>
      </c>
      <c r="BE120" s="260">
        <v>0</v>
      </c>
      <c r="BF120" s="260">
        <v>0</v>
      </c>
      <c r="BG120" s="260">
        <v>0</v>
      </c>
      <c r="BH120" s="260">
        <v>0</v>
      </c>
      <c r="BI120" s="260">
        <v>0</v>
      </c>
      <c r="BJ120" s="260">
        <v>0</v>
      </c>
      <c r="BK120" s="260">
        <v>0</v>
      </c>
      <c r="BL120" s="260">
        <v>0</v>
      </c>
      <c r="BM120" s="260">
        <v>0</v>
      </c>
      <c r="BN120" s="260">
        <v>0</v>
      </c>
      <c r="BO120" s="260">
        <v>0</v>
      </c>
      <c r="BP120" s="260">
        <v>0</v>
      </c>
      <c r="BQ120" s="260">
        <v>0</v>
      </c>
      <c r="BR120" s="260">
        <v>0</v>
      </c>
      <c r="BS120" s="260">
        <v>0</v>
      </c>
      <c r="BT120" s="260">
        <v>0</v>
      </c>
      <c r="BU120" s="260">
        <v>0</v>
      </c>
      <c r="BV120" s="260">
        <v>0</v>
      </c>
      <c r="BW120" s="260">
        <v>0</v>
      </c>
      <c r="BX120" s="260">
        <v>0</v>
      </c>
      <c r="BY120" s="260">
        <v>0</v>
      </c>
      <c r="BZ120" s="260">
        <v>0</v>
      </c>
      <c r="CA120" s="260">
        <v>0</v>
      </c>
      <c r="CB120" s="260">
        <v>0</v>
      </c>
      <c r="CC120" s="260">
        <v>0</v>
      </c>
      <c r="CD120" s="260">
        <v>0</v>
      </c>
      <c r="CE120" s="260">
        <v>0</v>
      </c>
      <c r="CF120" s="260">
        <v>0</v>
      </c>
      <c r="CG120" s="260">
        <v>0</v>
      </c>
      <c r="CH120" s="260">
        <v>0</v>
      </c>
    </row>
    <row r="121" spans="1:86" x14ac:dyDescent="0.25">
      <c r="A121" s="170">
        <v>2</v>
      </c>
      <c r="B121" s="170">
        <v>10</v>
      </c>
      <c r="C121" s="259">
        <v>0</v>
      </c>
      <c r="D121" s="259">
        <v>0</v>
      </c>
      <c r="E121" s="259">
        <v>0</v>
      </c>
      <c r="F121" s="259">
        <v>0</v>
      </c>
      <c r="G121" s="259">
        <v>0</v>
      </c>
      <c r="H121" s="259">
        <v>0</v>
      </c>
      <c r="I121" s="260">
        <v>0</v>
      </c>
      <c r="J121" s="260">
        <v>0</v>
      </c>
      <c r="K121" s="260">
        <v>0</v>
      </c>
      <c r="L121" s="260">
        <v>0</v>
      </c>
      <c r="M121" s="260">
        <v>0</v>
      </c>
      <c r="N121" s="260">
        <v>0</v>
      </c>
      <c r="O121" s="260">
        <v>0</v>
      </c>
      <c r="P121" s="260">
        <v>0</v>
      </c>
      <c r="Q121" s="260">
        <v>0</v>
      </c>
      <c r="R121" s="260">
        <v>0</v>
      </c>
      <c r="S121" s="260">
        <v>0</v>
      </c>
      <c r="T121" s="260">
        <v>0</v>
      </c>
      <c r="U121" s="260">
        <v>0</v>
      </c>
      <c r="V121" s="260">
        <v>0</v>
      </c>
      <c r="W121" s="260">
        <v>0</v>
      </c>
      <c r="X121" s="260">
        <v>0</v>
      </c>
      <c r="Y121" s="260">
        <v>0</v>
      </c>
      <c r="Z121" s="260">
        <v>0</v>
      </c>
      <c r="AA121" s="260">
        <v>0</v>
      </c>
      <c r="AB121" s="260">
        <v>0</v>
      </c>
      <c r="AC121" s="260">
        <v>0</v>
      </c>
      <c r="AD121" s="260">
        <v>0</v>
      </c>
      <c r="AE121" s="260">
        <v>0</v>
      </c>
      <c r="AF121" s="260">
        <v>0</v>
      </c>
      <c r="AG121" s="260">
        <v>0</v>
      </c>
      <c r="AH121" s="260">
        <v>0</v>
      </c>
      <c r="AI121" s="260">
        <v>0</v>
      </c>
      <c r="AJ121" s="260">
        <v>0</v>
      </c>
      <c r="AK121" s="260">
        <v>0</v>
      </c>
      <c r="AL121" s="260">
        <v>0</v>
      </c>
      <c r="AM121" s="260">
        <v>0</v>
      </c>
      <c r="AN121" s="260">
        <v>0</v>
      </c>
      <c r="AO121" s="260">
        <v>0</v>
      </c>
      <c r="AP121" s="260">
        <v>0</v>
      </c>
      <c r="AQ121" s="260">
        <v>0</v>
      </c>
      <c r="AR121" s="260">
        <v>0</v>
      </c>
      <c r="AS121" s="260">
        <v>0</v>
      </c>
      <c r="AT121" s="260">
        <v>0</v>
      </c>
      <c r="AU121" s="260">
        <v>0</v>
      </c>
      <c r="AV121" s="260">
        <v>0</v>
      </c>
      <c r="AW121" s="260">
        <v>0</v>
      </c>
      <c r="AX121" s="260">
        <v>0</v>
      </c>
      <c r="AY121" s="260">
        <v>0</v>
      </c>
      <c r="AZ121" s="260">
        <v>0</v>
      </c>
      <c r="BA121" s="260">
        <v>0</v>
      </c>
      <c r="BB121" s="260">
        <v>0</v>
      </c>
      <c r="BC121" s="260">
        <v>0</v>
      </c>
      <c r="BD121" s="260">
        <v>0</v>
      </c>
      <c r="BE121" s="260">
        <v>0</v>
      </c>
      <c r="BF121" s="260">
        <v>0</v>
      </c>
      <c r="BG121" s="260">
        <v>0</v>
      </c>
      <c r="BH121" s="260">
        <v>0</v>
      </c>
      <c r="BI121" s="260">
        <v>0</v>
      </c>
      <c r="BJ121" s="260">
        <v>0</v>
      </c>
      <c r="BK121" s="260">
        <v>0</v>
      </c>
      <c r="BL121" s="260">
        <v>0</v>
      </c>
      <c r="BM121" s="260">
        <v>0</v>
      </c>
      <c r="BN121" s="260">
        <v>0</v>
      </c>
      <c r="BO121" s="260">
        <v>0</v>
      </c>
      <c r="BP121" s="260">
        <v>0</v>
      </c>
      <c r="BQ121" s="260">
        <v>0</v>
      </c>
      <c r="BR121" s="260">
        <v>0</v>
      </c>
      <c r="BS121" s="260">
        <v>0</v>
      </c>
      <c r="BT121" s="260">
        <v>0</v>
      </c>
      <c r="BU121" s="260">
        <v>0</v>
      </c>
      <c r="BV121" s="260">
        <v>0</v>
      </c>
      <c r="BW121" s="260">
        <v>0</v>
      </c>
      <c r="BX121" s="260">
        <v>0</v>
      </c>
      <c r="BY121" s="260">
        <v>0</v>
      </c>
      <c r="BZ121" s="260">
        <v>0</v>
      </c>
      <c r="CA121" s="260">
        <v>0</v>
      </c>
      <c r="CB121" s="260">
        <v>0</v>
      </c>
      <c r="CC121" s="260">
        <v>0</v>
      </c>
      <c r="CD121" s="260">
        <v>0</v>
      </c>
      <c r="CE121" s="260">
        <v>0</v>
      </c>
      <c r="CF121" s="260">
        <v>0</v>
      </c>
      <c r="CG121" s="260">
        <v>0</v>
      </c>
      <c r="CH121" s="260">
        <v>0</v>
      </c>
    </row>
    <row r="122" spans="1:86" x14ac:dyDescent="0.25">
      <c r="A122" s="170">
        <v>2</v>
      </c>
      <c r="B122" s="170">
        <v>11</v>
      </c>
      <c r="C122" s="259">
        <v>0</v>
      </c>
      <c r="D122" s="259">
        <v>0</v>
      </c>
      <c r="E122" s="259">
        <v>0</v>
      </c>
      <c r="F122" s="259">
        <v>0</v>
      </c>
      <c r="G122" s="259">
        <v>0</v>
      </c>
      <c r="H122" s="259">
        <v>0</v>
      </c>
      <c r="I122" s="260">
        <v>0</v>
      </c>
      <c r="J122" s="260">
        <v>0</v>
      </c>
      <c r="K122" s="260">
        <v>0</v>
      </c>
      <c r="L122" s="260">
        <v>0</v>
      </c>
      <c r="M122" s="260">
        <v>0</v>
      </c>
      <c r="N122" s="260">
        <v>0</v>
      </c>
      <c r="O122" s="260">
        <v>0</v>
      </c>
      <c r="P122" s="260">
        <v>0</v>
      </c>
      <c r="Q122" s="260">
        <v>0</v>
      </c>
      <c r="R122" s="260">
        <v>0</v>
      </c>
      <c r="S122" s="260">
        <v>0</v>
      </c>
      <c r="T122" s="260">
        <v>0</v>
      </c>
      <c r="U122" s="260">
        <v>0</v>
      </c>
      <c r="V122" s="260">
        <v>0</v>
      </c>
      <c r="W122" s="260">
        <v>0</v>
      </c>
      <c r="X122" s="260">
        <v>0</v>
      </c>
      <c r="Y122" s="260">
        <v>0</v>
      </c>
      <c r="Z122" s="260">
        <v>0</v>
      </c>
      <c r="AA122" s="260">
        <v>0</v>
      </c>
      <c r="AB122" s="260">
        <v>0</v>
      </c>
      <c r="AC122" s="260">
        <v>0</v>
      </c>
      <c r="AD122" s="260">
        <v>0</v>
      </c>
      <c r="AE122" s="260">
        <v>0</v>
      </c>
      <c r="AF122" s="260">
        <v>0</v>
      </c>
      <c r="AG122" s="260">
        <v>0</v>
      </c>
      <c r="AH122" s="260">
        <v>0</v>
      </c>
      <c r="AI122" s="260">
        <v>0</v>
      </c>
      <c r="AJ122" s="260">
        <v>0</v>
      </c>
      <c r="AK122" s="260">
        <v>0</v>
      </c>
      <c r="AL122" s="260">
        <v>0</v>
      </c>
      <c r="AM122" s="260">
        <v>0</v>
      </c>
      <c r="AN122" s="260">
        <v>0</v>
      </c>
      <c r="AO122" s="260">
        <v>0</v>
      </c>
      <c r="AP122" s="260">
        <v>0</v>
      </c>
      <c r="AQ122" s="260">
        <v>0</v>
      </c>
      <c r="AR122" s="260">
        <v>0</v>
      </c>
      <c r="AS122" s="260">
        <v>0</v>
      </c>
      <c r="AT122" s="260">
        <v>0</v>
      </c>
      <c r="AU122" s="260">
        <v>0</v>
      </c>
      <c r="AV122" s="260">
        <v>0</v>
      </c>
      <c r="AW122" s="260">
        <v>0</v>
      </c>
      <c r="AX122" s="260">
        <v>0</v>
      </c>
      <c r="AY122" s="260">
        <v>0</v>
      </c>
      <c r="AZ122" s="260">
        <v>0</v>
      </c>
      <c r="BA122" s="260">
        <v>0</v>
      </c>
      <c r="BB122" s="260">
        <v>0</v>
      </c>
      <c r="BC122" s="260">
        <v>0</v>
      </c>
      <c r="BD122" s="260">
        <v>0</v>
      </c>
      <c r="BE122" s="260">
        <v>0</v>
      </c>
      <c r="BF122" s="260">
        <v>0</v>
      </c>
      <c r="BG122" s="260">
        <v>0</v>
      </c>
      <c r="BH122" s="260">
        <v>0</v>
      </c>
      <c r="BI122" s="260">
        <v>0</v>
      </c>
      <c r="BJ122" s="260">
        <v>0</v>
      </c>
      <c r="BK122" s="260">
        <v>0</v>
      </c>
      <c r="BL122" s="260">
        <v>0</v>
      </c>
      <c r="BM122" s="260">
        <v>0</v>
      </c>
      <c r="BN122" s="260">
        <v>0</v>
      </c>
      <c r="BO122" s="260">
        <v>0</v>
      </c>
      <c r="BP122" s="260">
        <v>0</v>
      </c>
      <c r="BQ122" s="260">
        <v>0</v>
      </c>
      <c r="BR122" s="260">
        <v>0</v>
      </c>
      <c r="BS122" s="260">
        <v>0</v>
      </c>
      <c r="BT122" s="260">
        <v>0</v>
      </c>
      <c r="BU122" s="260">
        <v>0</v>
      </c>
      <c r="BV122" s="260">
        <v>0</v>
      </c>
      <c r="BW122" s="260">
        <v>0</v>
      </c>
      <c r="BX122" s="260">
        <v>0</v>
      </c>
      <c r="BY122" s="260">
        <v>0</v>
      </c>
      <c r="BZ122" s="260">
        <v>0</v>
      </c>
      <c r="CA122" s="260">
        <v>0</v>
      </c>
      <c r="CB122" s="260">
        <v>0</v>
      </c>
      <c r="CC122" s="260">
        <v>0</v>
      </c>
      <c r="CD122" s="260">
        <v>0</v>
      </c>
      <c r="CE122" s="260">
        <v>0</v>
      </c>
      <c r="CF122" s="260">
        <v>0</v>
      </c>
      <c r="CG122" s="260">
        <v>0</v>
      </c>
      <c r="CH122" s="260">
        <v>0</v>
      </c>
    </row>
    <row r="123" spans="1:86" x14ac:dyDescent="0.25">
      <c r="A123" s="170">
        <v>2</v>
      </c>
      <c r="B123" s="170">
        <v>12</v>
      </c>
      <c r="C123" s="259">
        <v>0</v>
      </c>
      <c r="D123" s="259">
        <v>0</v>
      </c>
      <c r="E123" s="259">
        <v>0</v>
      </c>
      <c r="F123" s="259">
        <v>0</v>
      </c>
      <c r="G123" s="259">
        <v>0</v>
      </c>
      <c r="H123" s="259">
        <v>0</v>
      </c>
      <c r="I123" s="260">
        <v>0</v>
      </c>
      <c r="J123" s="260">
        <v>0</v>
      </c>
      <c r="K123" s="260">
        <v>0</v>
      </c>
      <c r="L123" s="260">
        <v>0</v>
      </c>
      <c r="M123" s="260">
        <v>0</v>
      </c>
      <c r="N123" s="260">
        <v>0</v>
      </c>
      <c r="O123" s="260">
        <v>0</v>
      </c>
      <c r="P123" s="260">
        <v>0</v>
      </c>
      <c r="Q123" s="260">
        <v>0</v>
      </c>
      <c r="R123" s="260">
        <v>0</v>
      </c>
      <c r="S123" s="260">
        <v>0</v>
      </c>
      <c r="T123" s="260">
        <v>0</v>
      </c>
      <c r="U123" s="260">
        <v>0</v>
      </c>
      <c r="V123" s="260">
        <v>0</v>
      </c>
      <c r="W123" s="260">
        <v>0</v>
      </c>
      <c r="X123" s="260">
        <v>0</v>
      </c>
      <c r="Y123" s="260">
        <v>0</v>
      </c>
      <c r="Z123" s="260">
        <v>0</v>
      </c>
      <c r="AA123" s="260">
        <v>0</v>
      </c>
      <c r="AB123" s="260">
        <v>0</v>
      </c>
      <c r="AC123" s="260">
        <v>0</v>
      </c>
      <c r="AD123" s="260">
        <v>0</v>
      </c>
      <c r="AE123" s="260">
        <v>0</v>
      </c>
      <c r="AF123" s="260">
        <v>0</v>
      </c>
      <c r="AG123" s="260">
        <v>0</v>
      </c>
      <c r="AH123" s="260">
        <v>0</v>
      </c>
      <c r="AI123" s="260">
        <v>0</v>
      </c>
      <c r="AJ123" s="260">
        <v>0</v>
      </c>
      <c r="AK123" s="260">
        <v>0</v>
      </c>
      <c r="AL123" s="260">
        <v>0</v>
      </c>
      <c r="AM123" s="260">
        <v>0</v>
      </c>
      <c r="AN123" s="260">
        <v>0</v>
      </c>
      <c r="AO123" s="260">
        <v>0</v>
      </c>
      <c r="AP123" s="260">
        <v>0</v>
      </c>
      <c r="AQ123" s="260">
        <v>0</v>
      </c>
      <c r="AR123" s="260">
        <v>0</v>
      </c>
      <c r="AS123" s="260">
        <v>0</v>
      </c>
      <c r="AT123" s="260">
        <v>0</v>
      </c>
      <c r="AU123" s="260">
        <v>0</v>
      </c>
      <c r="AV123" s="260">
        <v>0</v>
      </c>
      <c r="AW123" s="260">
        <v>0</v>
      </c>
      <c r="AX123" s="260">
        <v>0</v>
      </c>
      <c r="AY123" s="260">
        <v>0</v>
      </c>
      <c r="AZ123" s="260">
        <v>0</v>
      </c>
      <c r="BA123" s="260">
        <v>0</v>
      </c>
      <c r="BB123" s="260">
        <v>0</v>
      </c>
      <c r="BC123" s="260">
        <v>0</v>
      </c>
      <c r="BD123" s="260">
        <v>0</v>
      </c>
      <c r="BE123" s="260">
        <v>0</v>
      </c>
      <c r="BF123" s="260">
        <v>0</v>
      </c>
      <c r="BG123" s="260">
        <v>0</v>
      </c>
      <c r="BH123" s="260">
        <v>0</v>
      </c>
      <c r="BI123" s="260">
        <v>0</v>
      </c>
      <c r="BJ123" s="260">
        <v>0</v>
      </c>
      <c r="BK123" s="260">
        <v>0</v>
      </c>
      <c r="BL123" s="260">
        <v>0</v>
      </c>
      <c r="BM123" s="260">
        <v>0</v>
      </c>
      <c r="BN123" s="260">
        <v>0</v>
      </c>
      <c r="BO123" s="260">
        <v>0</v>
      </c>
      <c r="BP123" s="260">
        <v>0</v>
      </c>
      <c r="BQ123" s="260">
        <v>0</v>
      </c>
      <c r="BR123" s="260">
        <v>0</v>
      </c>
      <c r="BS123" s="260">
        <v>0</v>
      </c>
      <c r="BT123" s="260">
        <v>0</v>
      </c>
      <c r="BU123" s="260">
        <v>0</v>
      </c>
      <c r="BV123" s="260">
        <v>0</v>
      </c>
      <c r="BW123" s="260">
        <v>0</v>
      </c>
      <c r="BX123" s="260">
        <v>0</v>
      </c>
      <c r="BY123" s="260">
        <v>0</v>
      </c>
      <c r="BZ123" s="260">
        <v>0</v>
      </c>
      <c r="CA123" s="260">
        <v>0</v>
      </c>
      <c r="CB123" s="260">
        <v>0</v>
      </c>
      <c r="CC123" s="260">
        <v>0</v>
      </c>
      <c r="CD123" s="260">
        <v>0</v>
      </c>
      <c r="CE123" s="260">
        <v>0</v>
      </c>
      <c r="CF123" s="260">
        <v>0</v>
      </c>
      <c r="CG123" s="260">
        <v>0</v>
      </c>
      <c r="CH123" s="260">
        <v>0</v>
      </c>
    </row>
    <row r="124" spans="1:86" x14ac:dyDescent="0.25">
      <c r="A124" s="170">
        <v>2</v>
      </c>
      <c r="B124" s="170">
        <v>13</v>
      </c>
      <c r="C124" s="259">
        <v>0</v>
      </c>
      <c r="D124" s="259">
        <v>0</v>
      </c>
      <c r="E124" s="259">
        <v>0</v>
      </c>
      <c r="F124" s="259">
        <v>0</v>
      </c>
      <c r="G124" s="259">
        <v>0</v>
      </c>
      <c r="H124" s="259">
        <v>0</v>
      </c>
      <c r="I124" s="260">
        <v>0</v>
      </c>
      <c r="J124" s="260">
        <v>0</v>
      </c>
      <c r="K124" s="260">
        <v>0</v>
      </c>
      <c r="L124" s="260">
        <v>0</v>
      </c>
      <c r="M124" s="260">
        <v>0</v>
      </c>
      <c r="N124" s="260">
        <v>0</v>
      </c>
      <c r="O124" s="260">
        <v>0</v>
      </c>
      <c r="P124" s="260">
        <v>0</v>
      </c>
      <c r="Q124" s="260">
        <v>0</v>
      </c>
      <c r="R124" s="260">
        <v>0</v>
      </c>
      <c r="S124" s="260">
        <v>0</v>
      </c>
      <c r="T124" s="260">
        <v>0</v>
      </c>
      <c r="U124" s="260">
        <v>0</v>
      </c>
      <c r="V124" s="260">
        <v>0</v>
      </c>
      <c r="W124" s="260">
        <v>0</v>
      </c>
      <c r="X124" s="260">
        <v>0</v>
      </c>
      <c r="Y124" s="260">
        <v>0</v>
      </c>
      <c r="Z124" s="260">
        <v>0</v>
      </c>
      <c r="AA124" s="260">
        <v>0</v>
      </c>
      <c r="AB124" s="260">
        <v>0</v>
      </c>
      <c r="AC124" s="260">
        <v>0</v>
      </c>
      <c r="AD124" s="260">
        <v>0</v>
      </c>
      <c r="AE124" s="260">
        <v>0</v>
      </c>
      <c r="AF124" s="260">
        <v>0</v>
      </c>
      <c r="AG124" s="260">
        <v>0</v>
      </c>
      <c r="AH124" s="260">
        <v>0</v>
      </c>
      <c r="AI124" s="260">
        <v>0</v>
      </c>
      <c r="AJ124" s="260">
        <v>0</v>
      </c>
      <c r="AK124" s="260">
        <v>0</v>
      </c>
      <c r="AL124" s="260">
        <v>0</v>
      </c>
      <c r="AM124" s="260">
        <v>0</v>
      </c>
      <c r="AN124" s="260">
        <v>0</v>
      </c>
      <c r="AO124" s="260">
        <v>0</v>
      </c>
      <c r="AP124" s="260">
        <v>0</v>
      </c>
      <c r="AQ124" s="260">
        <v>0</v>
      </c>
      <c r="AR124" s="260">
        <v>0</v>
      </c>
      <c r="AS124" s="260">
        <v>0</v>
      </c>
      <c r="AT124" s="260">
        <v>0</v>
      </c>
      <c r="AU124" s="260">
        <v>0</v>
      </c>
      <c r="AV124" s="260">
        <v>0</v>
      </c>
      <c r="AW124" s="260">
        <v>0</v>
      </c>
      <c r="AX124" s="260">
        <v>0</v>
      </c>
      <c r="AY124" s="260">
        <v>0</v>
      </c>
      <c r="AZ124" s="260">
        <v>0</v>
      </c>
      <c r="BA124" s="260">
        <v>0</v>
      </c>
      <c r="BB124" s="260">
        <v>0</v>
      </c>
      <c r="BC124" s="260">
        <v>0</v>
      </c>
      <c r="BD124" s="260">
        <v>0</v>
      </c>
      <c r="BE124" s="260">
        <v>0</v>
      </c>
      <c r="BF124" s="260">
        <v>0</v>
      </c>
      <c r="BG124" s="260">
        <v>0</v>
      </c>
      <c r="BH124" s="260">
        <v>0</v>
      </c>
      <c r="BI124" s="260">
        <v>0</v>
      </c>
      <c r="BJ124" s="260">
        <v>0</v>
      </c>
      <c r="BK124" s="260">
        <v>0</v>
      </c>
      <c r="BL124" s="260">
        <v>0</v>
      </c>
      <c r="BM124" s="260">
        <v>0</v>
      </c>
      <c r="BN124" s="260">
        <v>0</v>
      </c>
      <c r="BO124" s="260">
        <v>0</v>
      </c>
      <c r="BP124" s="260">
        <v>0</v>
      </c>
      <c r="BQ124" s="260">
        <v>0</v>
      </c>
      <c r="BR124" s="260">
        <v>0</v>
      </c>
      <c r="BS124" s="260">
        <v>0</v>
      </c>
      <c r="BT124" s="260">
        <v>0</v>
      </c>
      <c r="BU124" s="260">
        <v>0</v>
      </c>
      <c r="BV124" s="260">
        <v>0</v>
      </c>
      <c r="BW124" s="260">
        <v>0</v>
      </c>
      <c r="BX124" s="260">
        <v>0</v>
      </c>
      <c r="BY124" s="260">
        <v>0</v>
      </c>
      <c r="BZ124" s="260">
        <v>0</v>
      </c>
      <c r="CA124" s="260">
        <v>0</v>
      </c>
      <c r="CB124" s="260">
        <v>0</v>
      </c>
      <c r="CC124" s="260">
        <v>0</v>
      </c>
      <c r="CD124" s="260">
        <v>0</v>
      </c>
      <c r="CE124" s="260">
        <v>0</v>
      </c>
      <c r="CF124" s="260">
        <v>0</v>
      </c>
      <c r="CG124" s="260">
        <v>0</v>
      </c>
      <c r="CH124" s="260">
        <v>0</v>
      </c>
    </row>
    <row r="125" spans="1:86" x14ac:dyDescent="0.25">
      <c r="A125" s="170">
        <v>2</v>
      </c>
      <c r="B125" s="170">
        <v>14</v>
      </c>
      <c r="C125" s="259">
        <v>0</v>
      </c>
      <c r="D125" s="259">
        <v>0</v>
      </c>
      <c r="E125" s="259">
        <v>0</v>
      </c>
      <c r="F125" s="259">
        <v>0</v>
      </c>
      <c r="G125" s="259">
        <v>0</v>
      </c>
      <c r="H125" s="259">
        <v>0</v>
      </c>
      <c r="I125" s="260">
        <v>0</v>
      </c>
      <c r="J125" s="260">
        <v>0</v>
      </c>
      <c r="K125" s="260">
        <v>0</v>
      </c>
      <c r="L125" s="260">
        <v>0</v>
      </c>
      <c r="M125" s="260">
        <v>0</v>
      </c>
      <c r="N125" s="260">
        <v>0</v>
      </c>
      <c r="O125" s="260">
        <v>0</v>
      </c>
      <c r="P125" s="260">
        <v>0</v>
      </c>
      <c r="Q125" s="260">
        <v>0</v>
      </c>
      <c r="R125" s="260">
        <v>0</v>
      </c>
      <c r="S125" s="260">
        <v>0</v>
      </c>
      <c r="T125" s="260">
        <v>0</v>
      </c>
      <c r="U125" s="260">
        <v>0</v>
      </c>
      <c r="V125" s="260">
        <v>0</v>
      </c>
      <c r="W125" s="260">
        <v>0</v>
      </c>
      <c r="X125" s="260">
        <v>0</v>
      </c>
      <c r="Y125" s="260">
        <v>0</v>
      </c>
      <c r="Z125" s="260">
        <v>0</v>
      </c>
      <c r="AA125" s="260">
        <v>0</v>
      </c>
      <c r="AB125" s="260">
        <v>0</v>
      </c>
      <c r="AC125" s="260">
        <v>0</v>
      </c>
      <c r="AD125" s="260">
        <v>0</v>
      </c>
      <c r="AE125" s="260">
        <v>0</v>
      </c>
      <c r="AF125" s="260">
        <v>0</v>
      </c>
      <c r="AG125" s="260">
        <v>0</v>
      </c>
      <c r="AH125" s="260">
        <v>0</v>
      </c>
      <c r="AI125" s="260">
        <v>0</v>
      </c>
      <c r="AJ125" s="260">
        <v>0</v>
      </c>
      <c r="AK125" s="260">
        <v>0</v>
      </c>
      <c r="AL125" s="260">
        <v>0</v>
      </c>
      <c r="AM125" s="260">
        <v>0</v>
      </c>
      <c r="AN125" s="260">
        <v>0</v>
      </c>
      <c r="AO125" s="260">
        <v>0</v>
      </c>
      <c r="AP125" s="260">
        <v>0</v>
      </c>
      <c r="AQ125" s="260">
        <v>0</v>
      </c>
      <c r="AR125" s="260">
        <v>0</v>
      </c>
      <c r="AS125" s="260">
        <v>0</v>
      </c>
      <c r="AT125" s="260">
        <v>0</v>
      </c>
      <c r="AU125" s="260">
        <v>0</v>
      </c>
      <c r="AV125" s="260">
        <v>0</v>
      </c>
      <c r="AW125" s="260">
        <v>0</v>
      </c>
      <c r="AX125" s="260">
        <v>0</v>
      </c>
      <c r="AY125" s="260">
        <v>0</v>
      </c>
      <c r="AZ125" s="260">
        <v>0</v>
      </c>
      <c r="BA125" s="260">
        <v>0</v>
      </c>
      <c r="BB125" s="260">
        <v>0</v>
      </c>
      <c r="BC125" s="260">
        <v>0</v>
      </c>
      <c r="BD125" s="260">
        <v>0</v>
      </c>
      <c r="BE125" s="260">
        <v>0</v>
      </c>
      <c r="BF125" s="260">
        <v>0</v>
      </c>
      <c r="BG125" s="260">
        <v>0</v>
      </c>
      <c r="BH125" s="260">
        <v>0</v>
      </c>
      <c r="BI125" s="260">
        <v>0</v>
      </c>
      <c r="BJ125" s="260">
        <v>0</v>
      </c>
      <c r="BK125" s="260">
        <v>0</v>
      </c>
      <c r="BL125" s="260">
        <v>0</v>
      </c>
      <c r="BM125" s="260">
        <v>0</v>
      </c>
      <c r="BN125" s="260">
        <v>0</v>
      </c>
      <c r="BO125" s="260">
        <v>0</v>
      </c>
      <c r="BP125" s="260">
        <v>0</v>
      </c>
      <c r="BQ125" s="260">
        <v>0</v>
      </c>
      <c r="BR125" s="260">
        <v>0</v>
      </c>
      <c r="BS125" s="260">
        <v>0</v>
      </c>
      <c r="BT125" s="260">
        <v>0</v>
      </c>
      <c r="BU125" s="260">
        <v>0</v>
      </c>
      <c r="BV125" s="260">
        <v>0</v>
      </c>
      <c r="BW125" s="260">
        <v>0</v>
      </c>
      <c r="BX125" s="260">
        <v>0</v>
      </c>
      <c r="BY125" s="260">
        <v>0</v>
      </c>
      <c r="BZ125" s="260">
        <v>0</v>
      </c>
      <c r="CA125" s="260">
        <v>0</v>
      </c>
      <c r="CB125" s="260">
        <v>0</v>
      </c>
      <c r="CC125" s="260">
        <v>0</v>
      </c>
      <c r="CD125" s="260">
        <v>0</v>
      </c>
      <c r="CE125" s="260">
        <v>0</v>
      </c>
      <c r="CF125" s="260">
        <v>0</v>
      </c>
      <c r="CG125" s="260">
        <v>0</v>
      </c>
      <c r="CH125" s="260">
        <v>0</v>
      </c>
    </row>
    <row r="126" spans="1:86" x14ac:dyDescent="0.25">
      <c r="A126" s="170">
        <v>2</v>
      </c>
      <c r="B126" s="170">
        <v>15</v>
      </c>
      <c r="C126" s="259">
        <v>0</v>
      </c>
      <c r="D126" s="259">
        <v>0</v>
      </c>
      <c r="E126" s="259">
        <v>0</v>
      </c>
      <c r="F126" s="259">
        <v>0</v>
      </c>
      <c r="G126" s="259">
        <v>0</v>
      </c>
      <c r="H126" s="259">
        <v>0</v>
      </c>
      <c r="I126" s="260">
        <v>0</v>
      </c>
      <c r="J126" s="260">
        <v>0</v>
      </c>
      <c r="K126" s="260">
        <v>0</v>
      </c>
      <c r="L126" s="260">
        <v>0</v>
      </c>
      <c r="M126" s="260">
        <v>0</v>
      </c>
      <c r="N126" s="260">
        <v>0</v>
      </c>
      <c r="O126" s="260">
        <v>0</v>
      </c>
      <c r="P126" s="260">
        <v>0</v>
      </c>
      <c r="Q126" s="260">
        <v>0</v>
      </c>
      <c r="R126" s="260">
        <v>0</v>
      </c>
      <c r="S126" s="260">
        <v>0</v>
      </c>
      <c r="T126" s="260">
        <v>0</v>
      </c>
      <c r="U126" s="260">
        <v>0</v>
      </c>
      <c r="V126" s="260">
        <v>0</v>
      </c>
      <c r="W126" s="260">
        <v>0</v>
      </c>
      <c r="X126" s="260">
        <v>0</v>
      </c>
      <c r="Y126" s="260">
        <v>0</v>
      </c>
      <c r="Z126" s="260">
        <v>0</v>
      </c>
      <c r="AA126" s="260">
        <v>0</v>
      </c>
      <c r="AB126" s="260">
        <v>0</v>
      </c>
      <c r="AC126" s="260">
        <v>0</v>
      </c>
      <c r="AD126" s="260">
        <v>0</v>
      </c>
      <c r="AE126" s="260">
        <v>0</v>
      </c>
      <c r="AF126" s="260">
        <v>0</v>
      </c>
      <c r="AG126" s="260">
        <v>0</v>
      </c>
      <c r="AH126" s="260">
        <v>0</v>
      </c>
      <c r="AI126" s="260">
        <v>0</v>
      </c>
      <c r="AJ126" s="260">
        <v>0</v>
      </c>
      <c r="AK126" s="260">
        <v>0</v>
      </c>
      <c r="AL126" s="260">
        <v>0</v>
      </c>
      <c r="AM126" s="260">
        <v>0</v>
      </c>
      <c r="AN126" s="260">
        <v>0</v>
      </c>
      <c r="AO126" s="260">
        <v>0</v>
      </c>
      <c r="AP126" s="260">
        <v>0</v>
      </c>
      <c r="AQ126" s="260">
        <v>0</v>
      </c>
      <c r="AR126" s="260">
        <v>0</v>
      </c>
      <c r="AS126" s="260">
        <v>0</v>
      </c>
      <c r="AT126" s="260">
        <v>0</v>
      </c>
      <c r="AU126" s="260">
        <v>0</v>
      </c>
      <c r="AV126" s="260">
        <v>0</v>
      </c>
      <c r="AW126" s="260">
        <v>0</v>
      </c>
      <c r="AX126" s="260">
        <v>0</v>
      </c>
      <c r="AY126" s="260">
        <v>0</v>
      </c>
      <c r="AZ126" s="260">
        <v>0</v>
      </c>
      <c r="BA126" s="260">
        <v>0</v>
      </c>
      <c r="BB126" s="260">
        <v>0</v>
      </c>
      <c r="BC126" s="260">
        <v>0</v>
      </c>
      <c r="BD126" s="260">
        <v>0</v>
      </c>
      <c r="BE126" s="260">
        <v>0</v>
      </c>
      <c r="BF126" s="260">
        <v>0</v>
      </c>
      <c r="BG126" s="260">
        <v>0</v>
      </c>
      <c r="BH126" s="260">
        <v>0</v>
      </c>
      <c r="BI126" s="260">
        <v>0</v>
      </c>
      <c r="BJ126" s="260">
        <v>0</v>
      </c>
      <c r="BK126" s="260">
        <v>0</v>
      </c>
      <c r="BL126" s="260">
        <v>0</v>
      </c>
      <c r="BM126" s="260">
        <v>0</v>
      </c>
      <c r="BN126" s="260">
        <v>0</v>
      </c>
      <c r="BO126" s="260">
        <v>0</v>
      </c>
      <c r="BP126" s="260">
        <v>0</v>
      </c>
      <c r="BQ126" s="260">
        <v>0</v>
      </c>
      <c r="BR126" s="260">
        <v>0</v>
      </c>
      <c r="BS126" s="260">
        <v>0</v>
      </c>
      <c r="BT126" s="260">
        <v>0</v>
      </c>
      <c r="BU126" s="260">
        <v>0</v>
      </c>
      <c r="BV126" s="260">
        <v>0</v>
      </c>
      <c r="BW126" s="260">
        <v>0</v>
      </c>
      <c r="BX126" s="260">
        <v>0</v>
      </c>
      <c r="BY126" s="260">
        <v>0</v>
      </c>
      <c r="BZ126" s="260">
        <v>0</v>
      </c>
      <c r="CA126" s="260">
        <v>0</v>
      </c>
      <c r="CB126" s="260">
        <v>0</v>
      </c>
      <c r="CC126" s="260">
        <v>0</v>
      </c>
      <c r="CD126" s="260">
        <v>0</v>
      </c>
      <c r="CE126" s="260">
        <v>0</v>
      </c>
      <c r="CF126" s="260">
        <v>0</v>
      </c>
      <c r="CG126" s="260">
        <v>0</v>
      </c>
      <c r="CH126" s="260">
        <v>0</v>
      </c>
    </row>
    <row r="127" spans="1:86" x14ac:dyDescent="0.25">
      <c r="A127" s="170">
        <v>2</v>
      </c>
      <c r="B127" s="170">
        <v>16</v>
      </c>
      <c r="C127" s="259">
        <v>0</v>
      </c>
      <c r="D127" s="259">
        <v>0</v>
      </c>
      <c r="E127" s="259">
        <v>0</v>
      </c>
      <c r="F127" s="259">
        <v>0</v>
      </c>
      <c r="G127" s="259">
        <v>0</v>
      </c>
      <c r="H127" s="259">
        <v>0</v>
      </c>
      <c r="I127" s="260">
        <v>0</v>
      </c>
      <c r="J127" s="260">
        <v>0</v>
      </c>
      <c r="K127" s="260">
        <v>0</v>
      </c>
      <c r="L127" s="260">
        <v>0</v>
      </c>
      <c r="M127" s="260">
        <v>0</v>
      </c>
      <c r="N127" s="260">
        <v>0</v>
      </c>
      <c r="O127" s="260">
        <v>0</v>
      </c>
      <c r="P127" s="260">
        <v>0</v>
      </c>
      <c r="Q127" s="260">
        <v>0</v>
      </c>
      <c r="R127" s="260">
        <v>0</v>
      </c>
      <c r="S127" s="260">
        <v>0</v>
      </c>
      <c r="T127" s="260">
        <v>0</v>
      </c>
      <c r="U127" s="260">
        <v>0</v>
      </c>
      <c r="V127" s="260">
        <v>0</v>
      </c>
      <c r="W127" s="260">
        <v>0</v>
      </c>
      <c r="X127" s="260">
        <v>0</v>
      </c>
      <c r="Y127" s="260">
        <v>0</v>
      </c>
      <c r="Z127" s="260">
        <v>0</v>
      </c>
      <c r="AA127" s="260">
        <v>0</v>
      </c>
      <c r="AB127" s="260">
        <v>0</v>
      </c>
      <c r="AC127" s="260">
        <v>0</v>
      </c>
      <c r="AD127" s="260">
        <v>0</v>
      </c>
      <c r="AE127" s="260">
        <v>0</v>
      </c>
      <c r="AF127" s="260">
        <v>0</v>
      </c>
      <c r="AG127" s="260">
        <v>0</v>
      </c>
      <c r="AH127" s="260">
        <v>0</v>
      </c>
      <c r="AI127" s="260">
        <v>0</v>
      </c>
      <c r="AJ127" s="260">
        <v>0</v>
      </c>
      <c r="AK127" s="260">
        <v>0</v>
      </c>
      <c r="AL127" s="260">
        <v>0</v>
      </c>
      <c r="AM127" s="260">
        <v>0</v>
      </c>
      <c r="AN127" s="260">
        <v>0</v>
      </c>
      <c r="AO127" s="260">
        <v>0</v>
      </c>
      <c r="AP127" s="260">
        <v>0</v>
      </c>
      <c r="AQ127" s="260">
        <v>0</v>
      </c>
      <c r="AR127" s="260">
        <v>0</v>
      </c>
      <c r="AS127" s="260">
        <v>0</v>
      </c>
      <c r="AT127" s="260">
        <v>0</v>
      </c>
      <c r="AU127" s="260">
        <v>0</v>
      </c>
      <c r="AV127" s="260">
        <v>0</v>
      </c>
      <c r="AW127" s="260">
        <v>0</v>
      </c>
      <c r="AX127" s="260">
        <v>0</v>
      </c>
      <c r="AY127" s="260">
        <v>0</v>
      </c>
      <c r="AZ127" s="260">
        <v>0</v>
      </c>
      <c r="BA127" s="260">
        <v>0</v>
      </c>
      <c r="BB127" s="260">
        <v>0</v>
      </c>
      <c r="BC127" s="260">
        <v>0</v>
      </c>
      <c r="BD127" s="260">
        <v>0</v>
      </c>
      <c r="BE127" s="260">
        <v>0</v>
      </c>
      <c r="BF127" s="260">
        <v>0</v>
      </c>
      <c r="BG127" s="260">
        <v>0</v>
      </c>
      <c r="BH127" s="260">
        <v>0</v>
      </c>
      <c r="BI127" s="260">
        <v>0</v>
      </c>
      <c r="BJ127" s="260">
        <v>0</v>
      </c>
      <c r="BK127" s="260">
        <v>0</v>
      </c>
      <c r="BL127" s="260">
        <v>0</v>
      </c>
      <c r="BM127" s="260">
        <v>0</v>
      </c>
      <c r="BN127" s="260">
        <v>0</v>
      </c>
      <c r="BO127" s="260">
        <v>0</v>
      </c>
      <c r="BP127" s="260">
        <v>0</v>
      </c>
      <c r="BQ127" s="260">
        <v>0</v>
      </c>
      <c r="BR127" s="260">
        <v>0</v>
      </c>
      <c r="BS127" s="260">
        <v>0</v>
      </c>
      <c r="BT127" s="260">
        <v>0</v>
      </c>
      <c r="BU127" s="260">
        <v>0</v>
      </c>
      <c r="BV127" s="260">
        <v>0</v>
      </c>
      <c r="BW127" s="260">
        <v>0</v>
      </c>
      <c r="BX127" s="260">
        <v>0</v>
      </c>
      <c r="BY127" s="260">
        <v>0</v>
      </c>
      <c r="BZ127" s="260">
        <v>0</v>
      </c>
      <c r="CA127" s="260">
        <v>0</v>
      </c>
      <c r="CB127" s="260">
        <v>0</v>
      </c>
      <c r="CC127" s="260">
        <v>0</v>
      </c>
      <c r="CD127" s="260">
        <v>0</v>
      </c>
      <c r="CE127" s="260">
        <v>0</v>
      </c>
      <c r="CF127" s="260">
        <v>0</v>
      </c>
      <c r="CG127" s="260">
        <v>0</v>
      </c>
      <c r="CH127" s="260">
        <v>0</v>
      </c>
    </row>
    <row r="128" spans="1:86" x14ac:dyDescent="0.25">
      <c r="A128" s="170">
        <v>2</v>
      </c>
      <c r="B128" s="170">
        <v>17</v>
      </c>
      <c r="C128" s="259">
        <v>0</v>
      </c>
      <c r="D128" s="259">
        <v>0</v>
      </c>
      <c r="E128" s="259">
        <v>0</v>
      </c>
      <c r="F128" s="259">
        <v>0</v>
      </c>
      <c r="G128" s="259">
        <v>0</v>
      </c>
      <c r="H128" s="259">
        <v>0</v>
      </c>
      <c r="I128" s="260">
        <v>0</v>
      </c>
      <c r="J128" s="260">
        <v>0</v>
      </c>
      <c r="K128" s="260">
        <v>0</v>
      </c>
      <c r="L128" s="260">
        <v>0</v>
      </c>
      <c r="M128" s="260">
        <v>0</v>
      </c>
      <c r="N128" s="260">
        <v>0</v>
      </c>
      <c r="O128" s="260">
        <v>0</v>
      </c>
      <c r="P128" s="260">
        <v>0</v>
      </c>
      <c r="Q128" s="260">
        <v>0</v>
      </c>
      <c r="R128" s="260">
        <v>0</v>
      </c>
      <c r="S128" s="260">
        <v>0</v>
      </c>
      <c r="T128" s="260">
        <v>0</v>
      </c>
      <c r="U128" s="260">
        <v>0</v>
      </c>
      <c r="V128" s="260">
        <v>0</v>
      </c>
      <c r="W128" s="260">
        <v>0</v>
      </c>
      <c r="X128" s="260">
        <v>0</v>
      </c>
      <c r="Y128" s="260">
        <v>0</v>
      </c>
      <c r="Z128" s="260">
        <v>0</v>
      </c>
      <c r="AA128" s="260">
        <v>0</v>
      </c>
      <c r="AB128" s="260">
        <v>0</v>
      </c>
      <c r="AC128" s="260">
        <v>0</v>
      </c>
      <c r="AD128" s="260">
        <v>0</v>
      </c>
      <c r="AE128" s="260">
        <v>0</v>
      </c>
      <c r="AF128" s="260">
        <v>0</v>
      </c>
      <c r="AG128" s="260">
        <v>0</v>
      </c>
      <c r="AH128" s="260">
        <v>0</v>
      </c>
      <c r="AI128" s="260">
        <v>0</v>
      </c>
      <c r="AJ128" s="260">
        <v>0</v>
      </c>
      <c r="AK128" s="260">
        <v>0</v>
      </c>
      <c r="AL128" s="260">
        <v>0</v>
      </c>
      <c r="AM128" s="260">
        <v>0</v>
      </c>
      <c r="AN128" s="260">
        <v>0</v>
      </c>
      <c r="AO128" s="260">
        <v>0</v>
      </c>
      <c r="AP128" s="260">
        <v>0</v>
      </c>
      <c r="AQ128" s="260">
        <v>0</v>
      </c>
      <c r="AR128" s="260">
        <v>0</v>
      </c>
      <c r="AS128" s="260">
        <v>0</v>
      </c>
      <c r="AT128" s="260">
        <v>0</v>
      </c>
      <c r="AU128" s="260">
        <v>0</v>
      </c>
      <c r="AV128" s="260">
        <v>0</v>
      </c>
      <c r="AW128" s="260">
        <v>0</v>
      </c>
      <c r="AX128" s="260">
        <v>0</v>
      </c>
      <c r="AY128" s="260">
        <v>0</v>
      </c>
      <c r="AZ128" s="260">
        <v>0</v>
      </c>
      <c r="BA128" s="260">
        <v>0</v>
      </c>
      <c r="BB128" s="260">
        <v>0</v>
      </c>
      <c r="BC128" s="260">
        <v>0</v>
      </c>
      <c r="BD128" s="260">
        <v>0</v>
      </c>
      <c r="BE128" s="260">
        <v>0</v>
      </c>
      <c r="BF128" s="260">
        <v>0</v>
      </c>
      <c r="BG128" s="260">
        <v>0</v>
      </c>
      <c r="BH128" s="260">
        <v>0</v>
      </c>
      <c r="BI128" s="260">
        <v>0</v>
      </c>
      <c r="BJ128" s="260">
        <v>0</v>
      </c>
      <c r="BK128" s="260">
        <v>0</v>
      </c>
      <c r="BL128" s="260">
        <v>0</v>
      </c>
      <c r="BM128" s="260">
        <v>0</v>
      </c>
      <c r="BN128" s="260">
        <v>0</v>
      </c>
      <c r="BO128" s="260">
        <v>0</v>
      </c>
      <c r="BP128" s="260">
        <v>0</v>
      </c>
      <c r="BQ128" s="260">
        <v>0</v>
      </c>
      <c r="BR128" s="260">
        <v>0</v>
      </c>
      <c r="BS128" s="260">
        <v>0</v>
      </c>
      <c r="BT128" s="260">
        <v>0</v>
      </c>
      <c r="BU128" s="260">
        <v>0</v>
      </c>
      <c r="BV128" s="260">
        <v>0</v>
      </c>
      <c r="BW128" s="260">
        <v>0</v>
      </c>
      <c r="BX128" s="260">
        <v>0</v>
      </c>
      <c r="BY128" s="260">
        <v>0</v>
      </c>
      <c r="BZ128" s="260">
        <v>0</v>
      </c>
      <c r="CA128" s="260">
        <v>0</v>
      </c>
      <c r="CB128" s="260">
        <v>0</v>
      </c>
      <c r="CC128" s="260">
        <v>0</v>
      </c>
      <c r="CD128" s="260">
        <v>0</v>
      </c>
      <c r="CE128" s="260">
        <v>0</v>
      </c>
      <c r="CF128" s="260">
        <v>0</v>
      </c>
      <c r="CG128" s="260">
        <v>0</v>
      </c>
      <c r="CH128" s="260">
        <v>0</v>
      </c>
    </row>
    <row r="129" spans="1:86" x14ac:dyDescent="0.25">
      <c r="A129" s="170">
        <v>2</v>
      </c>
      <c r="B129" s="170">
        <v>18</v>
      </c>
      <c r="C129" s="259">
        <v>0</v>
      </c>
      <c r="D129" s="259">
        <v>0</v>
      </c>
      <c r="E129" s="259">
        <v>0</v>
      </c>
      <c r="F129" s="259">
        <v>0</v>
      </c>
      <c r="G129" s="259">
        <v>0</v>
      </c>
      <c r="H129" s="259">
        <v>0</v>
      </c>
      <c r="I129" s="260">
        <v>0</v>
      </c>
      <c r="J129" s="260">
        <v>0</v>
      </c>
      <c r="K129" s="260">
        <v>0</v>
      </c>
      <c r="L129" s="260">
        <v>0</v>
      </c>
      <c r="M129" s="260">
        <v>0</v>
      </c>
      <c r="N129" s="260">
        <v>0</v>
      </c>
      <c r="O129" s="260">
        <v>0</v>
      </c>
      <c r="P129" s="260">
        <v>0</v>
      </c>
      <c r="Q129" s="260">
        <v>0</v>
      </c>
      <c r="R129" s="260">
        <v>0</v>
      </c>
      <c r="S129" s="260">
        <v>0</v>
      </c>
      <c r="T129" s="260">
        <v>0</v>
      </c>
      <c r="U129" s="260">
        <v>0</v>
      </c>
      <c r="V129" s="260">
        <v>0</v>
      </c>
      <c r="W129" s="260">
        <v>0</v>
      </c>
      <c r="X129" s="260">
        <v>0</v>
      </c>
      <c r="Y129" s="260">
        <v>0</v>
      </c>
      <c r="Z129" s="260">
        <v>0</v>
      </c>
      <c r="AA129" s="260">
        <v>0</v>
      </c>
      <c r="AB129" s="260">
        <v>0</v>
      </c>
      <c r="AC129" s="260">
        <v>0</v>
      </c>
      <c r="AD129" s="260">
        <v>0</v>
      </c>
      <c r="AE129" s="260">
        <v>0</v>
      </c>
      <c r="AF129" s="260">
        <v>0</v>
      </c>
      <c r="AG129" s="260">
        <v>0</v>
      </c>
      <c r="AH129" s="260">
        <v>0</v>
      </c>
      <c r="AI129" s="260">
        <v>0</v>
      </c>
      <c r="AJ129" s="260">
        <v>0</v>
      </c>
      <c r="AK129" s="260">
        <v>0</v>
      </c>
      <c r="AL129" s="260">
        <v>0</v>
      </c>
      <c r="AM129" s="260">
        <v>0</v>
      </c>
      <c r="AN129" s="260">
        <v>0</v>
      </c>
      <c r="AO129" s="260">
        <v>0</v>
      </c>
      <c r="AP129" s="260">
        <v>0</v>
      </c>
      <c r="AQ129" s="260">
        <v>0</v>
      </c>
      <c r="AR129" s="260">
        <v>0</v>
      </c>
      <c r="AS129" s="260">
        <v>0</v>
      </c>
      <c r="AT129" s="260">
        <v>0</v>
      </c>
      <c r="AU129" s="260">
        <v>0</v>
      </c>
      <c r="AV129" s="260">
        <v>0</v>
      </c>
      <c r="AW129" s="260">
        <v>0</v>
      </c>
      <c r="AX129" s="260">
        <v>0</v>
      </c>
      <c r="AY129" s="260">
        <v>0</v>
      </c>
      <c r="AZ129" s="260">
        <v>0</v>
      </c>
      <c r="BA129" s="260">
        <v>0</v>
      </c>
      <c r="BB129" s="260">
        <v>0</v>
      </c>
      <c r="BC129" s="260">
        <v>0</v>
      </c>
      <c r="BD129" s="260">
        <v>0</v>
      </c>
      <c r="BE129" s="260">
        <v>0</v>
      </c>
      <c r="BF129" s="260">
        <v>0</v>
      </c>
      <c r="BG129" s="260">
        <v>0</v>
      </c>
      <c r="BH129" s="260">
        <v>0</v>
      </c>
      <c r="BI129" s="260">
        <v>0</v>
      </c>
      <c r="BJ129" s="260">
        <v>0</v>
      </c>
      <c r="BK129" s="260">
        <v>0</v>
      </c>
      <c r="BL129" s="260">
        <v>0</v>
      </c>
      <c r="BM129" s="260">
        <v>0</v>
      </c>
      <c r="BN129" s="260">
        <v>0</v>
      </c>
      <c r="BO129" s="260">
        <v>0</v>
      </c>
      <c r="BP129" s="260">
        <v>0</v>
      </c>
      <c r="BQ129" s="260">
        <v>0</v>
      </c>
      <c r="BR129" s="260">
        <v>0</v>
      </c>
      <c r="BS129" s="260">
        <v>0</v>
      </c>
      <c r="BT129" s="260">
        <v>0</v>
      </c>
      <c r="BU129" s="260">
        <v>0</v>
      </c>
      <c r="BV129" s="260">
        <v>0</v>
      </c>
      <c r="BW129" s="260">
        <v>0</v>
      </c>
      <c r="BX129" s="260">
        <v>0</v>
      </c>
      <c r="BY129" s="260">
        <v>0</v>
      </c>
      <c r="BZ129" s="260">
        <v>0</v>
      </c>
      <c r="CA129" s="260">
        <v>0</v>
      </c>
      <c r="CB129" s="260">
        <v>0</v>
      </c>
      <c r="CC129" s="260">
        <v>0</v>
      </c>
      <c r="CD129" s="260">
        <v>0</v>
      </c>
      <c r="CE129" s="260">
        <v>0</v>
      </c>
      <c r="CF129" s="260">
        <v>0</v>
      </c>
      <c r="CG129" s="260">
        <v>0</v>
      </c>
      <c r="CH129" s="260">
        <v>0</v>
      </c>
    </row>
    <row r="130" spans="1:86" x14ac:dyDescent="0.25">
      <c r="A130" s="170">
        <v>2</v>
      </c>
      <c r="B130" s="170">
        <v>19</v>
      </c>
      <c r="C130" s="259">
        <v>0</v>
      </c>
      <c r="D130" s="259">
        <v>0</v>
      </c>
      <c r="E130" s="259">
        <v>0</v>
      </c>
      <c r="F130" s="259">
        <v>0</v>
      </c>
      <c r="G130" s="259">
        <v>0</v>
      </c>
      <c r="H130" s="259">
        <v>0</v>
      </c>
      <c r="I130" s="260">
        <v>0</v>
      </c>
      <c r="J130" s="260">
        <v>0</v>
      </c>
      <c r="K130" s="260">
        <v>0</v>
      </c>
      <c r="L130" s="260">
        <v>0</v>
      </c>
      <c r="M130" s="260">
        <v>0</v>
      </c>
      <c r="N130" s="260">
        <v>0</v>
      </c>
      <c r="O130" s="260">
        <v>0</v>
      </c>
      <c r="P130" s="260">
        <v>0</v>
      </c>
      <c r="Q130" s="260">
        <v>0</v>
      </c>
      <c r="R130" s="260">
        <v>0</v>
      </c>
      <c r="S130" s="260">
        <v>0</v>
      </c>
      <c r="T130" s="260">
        <v>0</v>
      </c>
      <c r="U130" s="260">
        <v>0</v>
      </c>
      <c r="V130" s="260">
        <v>0</v>
      </c>
      <c r="W130" s="260">
        <v>0</v>
      </c>
      <c r="X130" s="260">
        <v>0</v>
      </c>
      <c r="Y130" s="260">
        <v>0</v>
      </c>
      <c r="Z130" s="260">
        <v>0</v>
      </c>
      <c r="AA130" s="260">
        <v>0</v>
      </c>
      <c r="AB130" s="260">
        <v>0</v>
      </c>
      <c r="AC130" s="260">
        <v>0</v>
      </c>
      <c r="AD130" s="260">
        <v>0</v>
      </c>
      <c r="AE130" s="260">
        <v>0</v>
      </c>
      <c r="AF130" s="260">
        <v>0</v>
      </c>
      <c r="AG130" s="260">
        <v>0</v>
      </c>
      <c r="AH130" s="260">
        <v>0</v>
      </c>
      <c r="AI130" s="260">
        <v>0</v>
      </c>
      <c r="AJ130" s="260">
        <v>0</v>
      </c>
      <c r="AK130" s="260">
        <v>0</v>
      </c>
      <c r="AL130" s="260">
        <v>0</v>
      </c>
      <c r="AM130" s="260">
        <v>0</v>
      </c>
      <c r="AN130" s="260">
        <v>0</v>
      </c>
      <c r="AO130" s="260">
        <v>0</v>
      </c>
      <c r="AP130" s="260">
        <v>0</v>
      </c>
      <c r="AQ130" s="260">
        <v>0</v>
      </c>
      <c r="AR130" s="260">
        <v>0</v>
      </c>
      <c r="AS130" s="260">
        <v>0</v>
      </c>
      <c r="AT130" s="260">
        <v>0</v>
      </c>
      <c r="AU130" s="260">
        <v>0</v>
      </c>
      <c r="AV130" s="260">
        <v>0</v>
      </c>
      <c r="AW130" s="260">
        <v>0</v>
      </c>
      <c r="AX130" s="260">
        <v>0</v>
      </c>
      <c r="AY130" s="260">
        <v>0</v>
      </c>
      <c r="AZ130" s="260">
        <v>0</v>
      </c>
      <c r="BA130" s="260">
        <v>0</v>
      </c>
      <c r="BB130" s="260">
        <v>0</v>
      </c>
      <c r="BC130" s="260">
        <v>0</v>
      </c>
      <c r="BD130" s="260">
        <v>0</v>
      </c>
      <c r="BE130" s="260">
        <v>0</v>
      </c>
      <c r="BF130" s="260">
        <v>0</v>
      </c>
      <c r="BG130" s="260">
        <v>0</v>
      </c>
      <c r="BH130" s="260">
        <v>0</v>
      </c>
      <c r="BI130" s="260">
        <v>0</v>
      </c>
      <c r="BJ130" s="260">
        <v>0</v>
      </c>
      <c r="BK130" s="260">
        <v>0</v>
      </c>
      <c r="BL130" s="260">
        <v>0</v>
      </c>
      <c r="BM130" s="260">
        <v>0</v>
      </c>
      <c r="BN130" s="260">
        <v>0</v>
      </c>
      <c r="BO130" s="260">
        <v>0</v>
      </c>
      <c r="BP130" s="260">
        <v>0</v>
      </c>
      <c r="BQ130" s="260">
        <v>0</v>
      </c>
      <c r="BR130" s="260">
        <v>0</v>
      </c>
      <c r="BS130" s="260">
        <v>0</v>
      </c>
      <c r="BT130" s="260">
        <v>0</v>
      </c>
      <c r="BU130" s="260">
        <v>0</v>
      </c>
      <c r="BV130" s="260">
        <v>0</v>
      </c>
      <c r="BW130" s="260">
        <v>0</v>
      </c>
      <c r="BX130" s="260">
        <v>0</v>
      </c>
      <c r="BY130" s="260">
        <v>0</v>
      </c>
      <c r="BZ130" s="260">
        <v>0</v>
      </c>
      <c r="CA130" s="260">
        <v>0</v>
      </c>
      <c r="CB130" s="260">
        <v>0</v>
      </c>
      <c r="CC130" s="260">
        <v>0</v>
      </c>
      <c r="CD130" s="260">
        <v>0</v>
      </c>
      <c r="CE130" s="260">
        <v>0</v>
      </c>
      <c r="CF130" s="260">
        <v>0</v>
      </c>
      <c r="CG130" s="260">
        <v>0</v>
      </c>
      <c r="CH130" s="260">
        <v>0</v>
      </c>
    </row>
    <row r="131" spans="1:86" x14ac:dyDescent="0.25">
      <c r="A131" s="170">
        <v>2</v>
      </c>
      <c r="B131" s="170">
        <v>20</v>
      </c>
      <c r="C131" s="259">
        <v>29.055385589599609</v>
      </c>
      <c r="D131" s="259">
        <v>29.068136215209961</v>
      </c>
      <c r="E131" s="259">
        <v>29.080684661865234</v>
      </c>
      <c r="F131" s="259">
        <v>29.093032836914063</v>
      </c>
      <c r="G131" s="259">
        <v>29.105186462402344</v>
      </c>
      <c r="H131" s="259">
        <v>29.117149353027344</v>
      </c>
      <c r="I131" s="260">
        <v>28.825122</v>
      </c>
      <c r="J131" s="260">
        <v>28.834802999999997</v>
      </c>
      <c r="K131" s="260">
        <v>28.844429999999999</v>
      </c>
      <c r="L131" s="260">
        <v>28.854001999999998</v>
      </c>
      <c r="M131" s="260">
        <v>28.863517999999999</v>
      </c>
      <c r="N131" s="260">
        <v>28.872979999999998</v>
      </c>
      <c r="O131" s="260">
        <v>28.882386999999998</v>
      </c>
      <c r="P131" s="260">
        <v>28.891738999999998</v>
      </c>
      <c r="Q131" s="260">
        <v>28.901035</v>
      </c>
      <c r="R131" s="260">
        <v>28.910276</v>
      </c>
      <c r="S131" s="260">
        <v>28.919460999999998</v>
      </c>
      <c r="T131" s="260">
        <v>28.92859</v>
      </c>
      <c r="U131" s="260">
        <v>28.937662999999997</v>
      </c>
      <c r="V131" s="260">
        <v>28.946679</v>
      </c>
      <c r="W131" s="260">
        <v>28.955641</v>
      </c>
      <c r="X131" s="260">
        <v>28.964545999999999</v>
      </c>
      <c r="Y131" s="260">
        <v>28.973396999999999</v>
      </c>
      <c r="Z131" s="260">
        <v>28.982191999999998</v>
      </c>
      <c r="AA131" s="260">
        <v>28.990932999999998</v>
      </c>
      <c r="AB131" s="260">
        <v>28.999617999999998</v>
      </c>
      <c r="AC131" s="260">
        <v>29.00825</v>
      </c>
      <c r="AD131" s="260">
        <v>29.016828</v>
      </c>
      <c r="AE131" s="260">
        <v>29.025350999999997</v>
      </c>
      <c r="AF131" s="260">
        <v>29.033821</v>
      </c>
      <c r="AG131" s="260">
        <v>29.042237999999998</v>
      </c>
      <c r="AH131" s="260">
        <v>29.050601999999998</v>
      </c>
      <c r="AI131" s="260">
        <v>29.058913</v>
      </c>
      <c r="AJ131" s="260">
        <v>29.067170999999998</v>
      </c>
      <c r="AK131" s="260">
        <v>29.075377</v>
      </c>
      <c r="AL131" s="260">
        <v>29.08353</v>
      </c>
      <c r="AM131" s="260">
        <v>29.091631999999997</v>
      </c>
      <c r="AN131" s="260">
        <v>29.099681999999998</v>
      </c>
      <c r="AO131" s="260">
        <v>29.107680999999999</v>
      </c>
      <c r="AP131" s="260">
        <v>29.115627999999997</v>
      </c>
      <c r="AQ131" s="260">
        <v>29.123524999999997</v>
      </c>
      <c r="AR131" s="260">
        <v>29.131370999999998</v>
      </c>
      <c r="AS131" s="260">
        <v>29.139165999999999</v>
      </c>
      <c r="AT131" s="260">
        <v>29.146910999999999</v>
      </c>
      <c r="AU131" s="260">
        <v>29.154606999999999</v>
      </c>
      <c r="AV131" s="260">
        <v>29.162253</v>
      </c>
      <c r="AW131" s="260">
        <v>29.169848999999999</v>
      </c>
      <c r="AX131" s="260">
        <v>29.177395999999998</v>
      </c>
      <c r="AY131" s="260">
        <v>29.184894</v>
      </c>
      <c r="AZ131" s="260">
        <v>29.192342999999997</v>
      </c>
      <c r="BA131" s="260">
        <v>29.199743999999999</v>
      </c>
      <c r="BB131" s="260">
        <v>29.207096999999997</v>
      </c>
      <c r="BC131" s="260">
        <v>29.214402</v>
      </c>
      <c r="BD131" s="260">
        <v>29.221658999999999</v>
      </c>
      <c r="BE131" s="260">
        <v>29.228869</v>
      </c>
      <c r="BF131" s="260">
        <v>29.236030999999997</v>
      </c>
      <c r="BG131" s="260">
        <v>29.243147</v>
      </c>
      <c r="BH131" s="260">
        <v>29.250214999999997</v>
      </c>
      <c r="BI131" s="260">
        <v>29.257237999999997</v>
      </c>
      <c r="BJ131" s="260">
        <v>29.264213999999999</v>
      </c>
      <c r="BK131" s="260">
        <v>29.271144</v>
      </c>
      <c r="BL131" s="260">
        <v>29.278027999999999</v>
      </c>
      <c r="BM131" s="260">
        <v>29.284866999999998</v>
      </c>
      <c r="BN131" s="260">
        <v>29.29166</v>
      </c>
      <c r="BO131" s="260">
        <v>29.298408999999999</v>
      </c>
      <c r="BP131" s="260">
        <v>29.305111999999998</v>
      </c>
      <c r="BQ131" s="260">
        <v>29.311771999999998</v>
      </c>
      <c r="BR131" s="260">
        <v>29.318386</v>
      </c>
      <c r="BS131" s="260">
        <v>29.324956999999998</v>
      </c>
      <c r="BT131" s="260">
        <v>29.331484</v>
      </c>
      <c r="BU131" s="260">
        <v>29.337968</v>
      </c>
      <c r="BV131" s="260">
        <v>29.344407999999998</v>
      </c>
      <c r="BW131" s="260">
        <v>29.350804999999998</v>
      </c>
      <c r="BX131" s="260">
        <v>29.35716</v>
      </c>
      <c r="BY131" s="260">
        <v>29.363471999999998</v>
      </c>
      <c r="BZ131" s="260">
        <v>29.369740999999998</v>
      </c>
      <c r="CA131" s="260">
        <v>29.375968</v>
      </c>
      <c r="CB131" s="260">
        <v>29.382154</v>
      </c>
      <c r="CC131" s="260">
        <v>29.388297999999999</v>
      </c>
      <c r="CD131" s="260">
        <v>29.394399999999997</v>
      </c>
      <c r="CE131" s="260">
        <v>29.400461999999997</v>
      </c>
      <c r="CF131" s="260">
        <v>29.406481999999997</v>
      </c>
      <c r="CG131" s="260">
        <v>29.412461999999998</v>
      </c>
      <c r="CH131" s="260">
        <v>29.418400999999999</v>
      </c>
    </row>
    <row r="132" spans="1:86" x14ac:dyDescent="0.25">
      <c r="A132" s="170">
        <v>2</v>
      </c>
      <c r="B132" s="170">
        <v>21</v>
      </c>
      <c r="C132" s="259">
        <v>28.932939529418945</v>
      </c>
      <c r="D132" s="259">
        <v>28.946210861206055</v>
      </c>
      <c r="E132" s="259">
        <v>28.959270477294922</v>
      </c>
      <c r="F132" s="259">
        <v>28.972124099731445</v>
      </c>
      <c r="G132" s="259">
        <v>28.984775543212891</v>
      </c>
      <c r="H132" s="259">
        <v>28.997228622436523</v>
      </c>
      <c r="I132" s="260">
        <v>28.703270999999997</v>
      </c>
      <c r="J132" s="260">
        <v>28.713234</v>
      </c>
      <c r="K132" s="260">
        <v>28.723139</v>
      </c>
      <c r="L132" s="260">
        <v>28.732989</v>
      </c>
      <c r="M132" s="260">
        <v>28.742780999999997</v>
      </c>
      <c r="N132" s="260">
        <v>28.752517999999998</v>
      </c>
      <c r="O132" s="260">
        <v>28.762197</v>
      </c>
      <c r="P132" s="260">
        <v>28.771819999999998</v>
      </c>
      <c r="Q132" s="260">
        <v>28.781386999999999</v>
      </c>
      <c r="R132" s="260">
        <v>28.790896999999998</v>
      </c>
      <c r="S132" s="260">
        <v>28.800348999999997</v>
      </c>
      <c r="T132" s="260">
        <v>28.809743999999998</v>
      </c>
      <c r="U132" s="260">
        <v>28.819082999999999</v>
      </c>
      <c r="V132" s="260">
        <v>28.828363</v>
      </c>
      <c r="W132" s="260">
        <v>28.837586999999999</v>
      </c>
      <c r="X132" s="260">
        <v>28.846753999999997</v>
      </c>
      <c r="Y132" s="260">
        <v>28.855864999999998</v>
      </c>
      <c r="Z132" s="260">
        <v>28.864919</v>
      </c>
      <c r="AA132" s="260">
        <v>28.873916999999999</v>
      </c>
      <c r="AB132" s="260">
        <v>28.882859</v>
      </c>
      <c r="AC132" s="260">
        <v>28.891745999999998</v>
      </c>
      <c r="AD132" s="260">
        <v>28.900576999999998</v>
      </c>
      <c r="AE132" s="260">
        <v>28.909354</v>
      </c>
      <c r="AF132" s="260">
        <v>28.918074999999998</v>
      </c>
      <c r="AG132" s="260">
        <v>28.926741999999997</v>
      </c>
      <c r="AH132" s="260">
        <v>28.935354</v>
      </c>
      <c r="AI132" s="260">
        <v>28.943911999999997</v>
      </c>
      <c r="AJ132" s="260">
        <v>28.952416999999997</v>
      </c>
      <c r="AK132" s="260">
        <v>28.960867</v>
      </c>
      <c r="AL132" s="260">
        <v>28.969265</v>
      </c>
      <c r="AM132" s="260">
        <v>28.977608999999998</v>
      </c>
      <c r="AN132" s="260">
        <v>28.985899999999997</v>
      </c>
      <c r="AO132" s="260">
        <v>28.994138</v>
      </c>
      <c r="AP132" s="260">
        <v>29.002324999999999</v>
      </c>
      <c r="AQ132" s="260">
        <v>29.010458999999997</v>
      </c>
      <c r="AR132" s="260">
        <v>29.018540999999999</v>
      </c>
      <c r="AS132" s="260">
        <v>29.026570999999997</v>
      </c>
      <c r="AT132" s="260">
        <v>29.034549999999999</v>
      </c>
      <c r="AU132" s="260">
        <v>29.042477999999999</v>
      </c>
      <c r="AV132" s="260">
        <v>29.050355</v>
      </c>
      <c r="AW132" s="260">
        <v>29.058180999999998</v>
      </c>
      <c r="AX132" s="260">
        <v>29.065956999999997</v>
      </c>
      <c r="AY132" s="260">
        <v>29.073681999999998</v>
      </c>
      <c r="AZ132" s="260">
        <v>29.081357999999998</v>
      </c>
      <c r="BA132" s="260">
        <v>29.088984</v>
      </c>
      <c r="BB132" s="260">
        <v>29.09656</v>
      </c>
      <c r="BC132" s="260">
        <v>29.104087999999997</v>
      </c>
      <c r="BD132" s="260">
        <v>29.111566</v>
      </c>
      <c r="BE132" s="260">
        <v>29.118995999999999</v>
      </c>
      <c r="BF132" s="260">
        <v>29.126376999999998</v>
      </c>
      <c r="BG132" s="260">
        <v>29.133709999999997</v>
      </c>
      <c r="BH132" s="260">
        <v>29.140995</v>
      </c>
      <c r="BI132" s="260">
        <v>29.148232999999998</v>
      </c>
      <c r="BJ132" s="260">
        <v>29.155422999999999</v>
      </c>
      <c r="BK132" s="260">
        <v>29.162565999999998</v>
      </c>
      <c r="BL132" s="260">
        <v>29.169661999999999</v>
      </c>
      <c r="BM132" s="260">
        <v>29.176710999999997</v>
      </c>
      <c r="BN132" s="260">
        <v>29.183713999999998</v>
      </c>
      <c r="BO132" s="260">
        <v>29.190669999999997</v>
      </c>
      <c r="BP132" s="260">
        <v>29.197581</v>
      </c>
      <c r="BQ132" s="260">
        <v>29.204445999999997</v>
      </c>
      <c r="BR132" s="260">
        <v>29.211264999999997</v>
      </c>
      <c r="BS132" s="260">
        <v>29.218039999999998</v>
      </c>
      <c r="BT132" s="260">
        <v>29.224768999999998</v>
      </c>
      <c r="BU132" s="260">
        <v>29.231453999999999</v>
      </c>
      <c r="BV132" s="260">
        <v>29.238094</v>
      </c>
      <c r="BW132" s="260">
        <v>29.244689999999999</v>
      </c>
      <c r="BX132" s="260">
        <v>29.251241999999998</v>
      </c>
      <c r="BY132" s="260">
        <v>29.257749999999998</v>
      </c>
      <c r="BZ132" s="260">
        <v>29.264215</v>
      </c>
      <c r="CA132" s="260">
        <v>29.270636</v>
      </c>
      <c r="CB132" s="260">
        <v>29.277014999999999</v>
      </c>
      <c r="CC132" s="260">
        <v>29.283351</v>
      </c>
      <c r="CD132" s="260">
        <v>29.289643999999999</v>
      </c>
      <c r="CE132" s="260">
        <v>29.295894999999998</v>
      </c>
      <c r="CF132" s="260">
        <v>29.302104</v>
      </c>
      <c r="CG132" s="260">
        <v>29.308270999999998</v>
      </c>
      <c r="CH132" s="260">
        <v>29.314397</v>
      </c>
    </row>
    <row r="133" spans="1:86" x14ac:dyDescent="0.25">
      <c r="A133" s="170">
        <v>2</v>
      </c>
      <c r="B133" s="170">
        <v>22</v>
      </c>
      <c r="C133" s="259">
        <v>28.806159973144531</v>
      </c>
      <c r="D133" s="259">
        <v>28.819976806640625</v>
      </c>
      <c r="E133" s="259">
        <v>28.833574295043945</v>
      </c>
      <c r="F133" s="259">
        <v>28.846956253051758</v>
      </c>
      <c r="G133" s="259">
        <v>28.860126495361328</v>
      </c>
      <c r="H133" s="259">
        <v>28.873090744018555</v>
      </c>
      <c r="I133" s="260">
        <v>28.577484999999999</v>
      </c>
      <c r="J133" s="260">
        <v>28.587738999999999</v>
      </c>
      <c r="K133" s="260">
        <v>28.597935</v>
      </c>
      <c r="L133" s="260">
        <v>28.608072</v>
      </c>
      <c r="M133" s="260">
        <v>28.61815</v>
      </c>
      <c r="N133" s="260">
        <v>28.628169999999997</v>
      </c>
      <c r="O133" s="260">
        <v>28.638131999999999</v>
      </c>
      <c r="P133" s="260">
        <v>28.648035999999998</v>
      </c>
      <c r="Q133" s="260">
        <v>28.657881</v>
      </c>
      <c r="R133" s="260">
        <v>28.667667999999999</v>
      </c>
      <c r="S133" s="260">
        <v>28.677396999999999</v>
      </c>
      <c r="T133" s="260">
        <v>28.687066999999999</v>
      </c>
      <c r="U133" s="260">
        <v>28.696679</v>
      </c>
      <c r="V133" s="260">
        <v>28.706232</v>
      </c>
      <c r="W133" s="260">
        <v>28.715726999999998</v>
      </c>
      <c r="X133" s="260">
        <v>28.725163999999999</v>
      </c>
      <c r="Y133" s="260">
        <v>28.734542999999999</v>
      </c>
      <c r="Z133" s="260">
        <v>28.743863999999999</v>
      </c>
      <c r="AA133" s="260">
        <v>28.753128</v>
      </c>
      <c r="AB133" s="260">
        <v>28.762333999999999</v>
      </c>
      <c r="AC133" s="260">
        <v>28.771483999999997</v>
      </c>
      <c r="AD133" s="260">
        <v>28.780576999999997</v>
      </c>
      <c r="AE133" s="260">
        <v>28.789614</v>
      </c>
      <c r="AF133" s="260">
        <v>28.798594999999999</v>
      </c>
      <c r="AG133" s="260">
        <v>28.807518999999999</v>
      </c>
      <c r="AH133" s="260">
        <v>28.816388</v>
      </c>
      <c r="AI133" s="260">
        <v>28.825201999999997</v>
      </c>
      <c r="AJ133" s="260">
        <v>28.833959999999998</v>
      </c>
      <c r="AK133" s="260">
        <v>28.842662999999998</v>
      </c>
      <c r="AL133" s="260">
        <v>28.851312</v>
      </c>
      <c r="AM133" s="260">
        <v>28.859905999999999</v>
      </c>
      <c r="AN133" s="260">
        <v>28.868447</v>
      </c>
      <c r="AO133" s="260">
        <v>28.876932999999998</v>
      </c>
      <c r="AP133" s="260">
        <v>28.885365</v>
      </c>
      <c r="AQ133" s="260">
        <v>28.893743999999998</v>
      </c>
      <c r="AR133" s="260">
        <v>28.902069999999998</v>
      </c>
      <c r="AS133" s="260">
        <v>28.910342999999997</v>
      </c>
      <c r="AT133" s="260">
        <v>28.918562999999999</v>
      </c>
      <c r="AU133" s="260">
        <v>28.926729999999999</v>
      </c>
      <c r="AV133" s="260">
        <v>28.934846</v>
      </c>
      <c r="AW133" s="260">
        <v>28.942909</v>
      </c>
      <c r="AX133" s="260">
        <v>28.950920999999997</v>
      </c>
      <c r="AY133" s="260">
        <v>28.958881999999999</v>
      </c>
      <c r="AZ133" s="260">
        <v>28.966790999999997</v>
      </c>
      <c r="BA133" s="260">
        <v>28.974648999999999</v>
      </c>
      <c r="BB133" s="260">
        <v>28.982457</v>
      </c>
      <c r="BC133" s="260">
        <v>28.990213999999998</v>
      </c>
      <c r="BD133" s="260">
        <v>28.997920999999998</v>
      </c>
      <c r="BE133" s="260">
        <v>29.005578</v>
      </c>
      <c r="BF133" s="260">
        <v>29.013185</v>
      </c>
      <c r="BG133" s="260">
        <v>29.020743</v>
      </c>
      <c r="BH133" s="260">
        <v>29.028251999999998</v>
      </c>
      <c r="BI133" s="260">
        <v>29.035710999999999</v>
      </c>
      <c r="BJ133" s="260">
        <v>29.043122999999998</v>
      </c>
      <c r="BK133" s="260">
        <v>29.050484999999998</v>
      </c>
      <c r="BL133" s="260">
        <v>29.0578</v>
      </c>
      <c r="BM133" s="260">
        <v>29.065065999999998</v>
      </c>
      <c r="BN133" s="260">
        <v>29.072284999999997</v>
      </c>
      <c r="BO133" s="260">
        <v>29.079456999999998</v>
      </c>
      <c r="BP133" s="260">
        <v>29.086580999999999</v>
      </c>
      <c r="BQ133" s="260">
        <v>29.093658999999999</v>
      </c>
      <c r="BR133" s="260">
        <v>29.10069</v>
      </c>
      <c r="BS133" s="260">
        <v>29.107673999999999</v>
      </c>
      <c r="BT133" s="260">
        <v>29.114611999999997</v>
      </c>
      <c r="BU133" s="260">
        <v>29.121504999999999</v>
      </c>
      <c r="BV133" s="260">
        <v>29.128350999999999</v>
      </c>
      <c r="BW133" s="260">
        <v>29.135151999999998</v>
      </c>
      <c r="BX133" s="260">
        <v>29.141908999999998</v>
      </c>
      <c r="BY133" s="260">
        <v>29.148619999999998</v>
      </c>
      <c r="BZ133" s="260">
        <v>29.155286</v>
      </c>
      <c r="CA133" s="260">
        <v>29.161908999999998</v>
      </c>
      <c r="CB133" s="260">
        <v>29.168485999999998</v>
      </c>
      <c r="CC133" s="260">
        <v>29.175020999999997</v>
      </c>
      <c r="CD133" s="260">
        <v>29.181511</v>
      </c>
      <c r="CE133" s="260">
        <v>29.187957999999998</v>
      </c>
      <c r="CF133" s="260">
        <v>29.194361999999998</v>
      </c>
      <c r="CG133" s="260">
        <v>29.200723</v>
      </c>
      <c r="CH133" s="260">
        <v>29.207041</v>
      </c>
    </row>
    <row r="134" spans="1:86" x14ac:dyDescent="0.25">
      <c r="A134" s="170">
        <v>2</v>
      </c>
      <c r="B134" s="170">
        <v>23</v>
      </c>
      <c r="C134" s="259">
        <v>28.674890518188477</v>
      </c>
      <c r="D134" s="259">
        <v>28.689279556274414</v>
      </c>
      <c r="E134" s="259">
        <v>28.703439712524414</v>
      </c>
      <c r="F134" s="259">
        <v>28.717374801635742</v>
      </c>
      <c r="G134" s="259">
        <v>28.731090545654297</v>
      </c>
      <c r="H134" s="259">
        <v>28.744588851928711</v>
      </c>
      <c r="I134" s="260">
        <v>28.447720999999998</v>
      </c>
      <c r="J134" s="260">
        <v>28.458276999999999</v>
      </c>
      <c r="K134" s="260">
        <v>28.468771</v>
      </c>
      <c r="L134" s="260">
        <v>28.479205</v>
      </c>
      <c r="M134" s="260">
        <v>28.489577999999998</v>
      </c>
      <c r="N134" s="260">
        <v>28.499890999999998</v>
      </c>
      <c r="O134" s="260">
        <v>28.510142999999999</v>
      </c>
      <c r="P134" s="260">
        <v>28.520336</v>
      </c>
      <c r="Q134" s="260">
        <v>28.530469</v>
      </c>
      <c r="R134" s="260">
        <v>28.540541999999999</v>
      </c>
      <c r="S134" s="260">
        <v>28.550554999999999</v>
      </c>
      <c r="T134" s="260">
        <v>28.560507999999999</v>
      </c>
      <c r="U134" s="260">
        <v>28.570401</v>
      </c>
      <c r="V134" s="260">
        <v>28.580233999999997</v>
      </c>
      <c r="W134" s="260">
        <v>28.590007</v>
      </c>
      <c r="X134" s="260">
        <v>28.599720999999999</v>
      </c>
      <c r="Y134" s="260">
        <v>28.609375999999997</v>
      </c>
      <c r="Z134" s="260">
        <v>28.618971999999999</v>
      </c>
      <c r="AA134" s="260">
        <v>28.628509999999999</v>
      </c>
      <c r="AB134" s="260">
        <v>28.637988</v>
      </c>
      <c r="AC134" s="260">
        <v>28.647409</v>
      </c>
      <c r="AD134" s="260">
        <v>28.656772</v>
      </c>
      <c r="AE134" s="260">
        <v>28.666076</v>
      </c>
      <c r="AF134" s="260">
        <v>28.675324</v>
      </c>
      <c r="AG134" s="260">
        <v>28.684514</v>
      </c>
      <c r="AH134" s="260">
        <v>28.693646999999999</v>
      </c>
      <c r="AI134" s="260">
        <v>28.702722999999999</v>
      </c>
      <c r="AJ134" s="260">
        <v>28.711742999999998</v>
      </c>
      <c r="AK134" s="260">
        <v>28.720706999999997</v>
      </c>
      <c r="AL134" s="260">
        <v>28.729614999999999</v>
      </c>
      <c r="AM134" s="260">
        <v>28.738465999999999</v>
      </c>
      <c r="AN134" s="260">
        <v>28.747263</v>
      </c>
      <c r="AO134" s="260">
        <v>28.756003999999997</v>
      </c>
      <c r="AP134" s="260">
        <v>28.764689999999998</v>
      </c>
      <c r="AQ134" s="260">
        <v>28.773320999999999</v>
      </c>
      <c r="AR134" s="260">
        <v>28.781897999999998</v>
      </c>
      <c r="AS134" s="260">
        <v>28.790419999999997</v>
      </c>
      <c r="AT134" s="260">
        <v>28.798888999999999</v>
      </c>
      <c r="AU134" s="260">
        <v>28.807303999999998</v>
      </c>
      <c r="AV134" s="260">
        <v>28.815664999999999</v>
      </c>
      <c r="AW134" s="260">
        <v>28.823972999999999</v>
      </c>
      <c r="AX134" s="260">
        <v>28.832227999999997</v>
      </c>
      <c r="AY134" s="260">
        <v>28.840429999999998</v>
      </c>
      <c r="AZ134" s="260">
        <v>28.848579999999998</v>
      </c>
      <c r="BA134" s="260">
        <v>28.856677999999999</v>
      </c>
      <c r="BB134" s="260">
        <v>28.864722999999998</v>
      </c>
      <c r="BC134" s="260">
        <v>28.872716999999998</v>
      </c>
      <c r="BD134" s="260">
        <v>28.880658999999998</v>
      </c>
      <c r="BE134" s="260">
        <v>28.888551</v>
      </c>
      <c r="BF134" s="260">
        <v>28.896390999999998</v>
      </c>
      <c r="BG134" s="260">
        <v>28.90418</v>
      </c>
      <c r="BH134" s="260">
        <v>28.911918999999997</v>
      </c>
      <c r="BI134" s="260">
        <v>28.919608</v>
      </c>
      <c r="BJ134" s="260">
        <v>28.927246999999998</v>
      </c>
      <c r="BK134" s="260">
        <v>28.934835999999997</v>
      </c>
      <c r="BL134" s="260">
        <v>28.942375999999999</v>
      </c>
      <c r="BM134" s="260">
        <v>28.949866999999998</v>
      </c>
      <c r="BN134" s="260">
        <v>28.957308999999999</v>
      </c>
      <c r="BO134" s="260">
        <v>28.964701999999999</v>
      </c>
      <c r="BP134" s="260">
        <v>28.972047</v>
      </c>
      <c r="BQ134" s="260">
        <v>28.979343</v>
      </c>
      <c r="BR134" s="260">
        <v>28.986591999999998</v>
      </c>
      <c r="BS134" s="260">
        <v>28.993793</v>
      </c>
      <c r="BT134" s="260">
        <v>29.000945999999999</v>
      </c>
      <c r="BU134" s="260">
        <v>29.008053</v>
      </c>
      <c r="BV134" s="260">
        <v>29.015111999999998</v>
      </c>
      <c r="BW134" s="260">
        <v>29.022124999999999</v>
      </c>
      <c r="BX134" s="260">
        <v>29.029091999999999</v>
      </c>
      <c r="BY134" s="260">
        <v>29.036012999999997</v>
      </c>
      <c r="BZ134" s="260">
        <v>29.042887</v>
      </c>
      <c r="CA134" s="260">
        <v>29.049716</v>
      </c>
      <c r="CB134" s="260">
        <v>29.0565</v>
      </c>
      <c r="CC134" s="260">
        <v>29.063237999999998</v>
      </c>
      <c r="CD134" s="260">
        <v>29.069931999999998</v>
      </c>
      <c r="CE134" s="260">
        <v>29.076580999999997</v>
      </c>
      <c r="CF134" s="260">
        <v>29.083185999999998</v>
      </c>
      <c r="CG134" s="260">
        <v>29.089746999999999</v>
      </c>
      <c r="CH134" s="260">
        <v>29.096263</v>
      </c>
    </row>
    <row r="135" spans="1:86" x14ac:dyDescent="0.25">
      <c r="A135" s="170">
        <v>2</v>
      </c>
      <c r="B135" s="170">
        <v>24</v>
      </c>
      <c r="C135" s="259">
        <v>28.538991928100586</v>
      </c>
      <c r="D135" s="259">
        <v>28.553976058959961</v>
      </c>
      <c r="E135" s="259">
        <v>28.568723678588867</v>
      </c>
      <c r="F135" s="259">
        <v>28.58323860168457</v>
      </c>
      <c r="G135" s="259">
        <v>28.597524642944336</v>
      </c>
      <c r="H135" s="259">
        <v>28.611583709716797</v>
      </c>
      <c r="I135" s="260">
        <v>28.313763999999999</v>
      </c>
      <c r="J135" s="260">
        <v>28.324629999999999</v>
      </c>
      <c r="K135" s="260">
        <v>28.335432999999998</v>
      </c>
      <c r="L135" s="260">
        <v>28.346173</v>
      </c>
      <c r="M135" s="260">
        <v>28.356849999999998</v>
      </c>
      <c r="N135" s="260">
        <v>28.367464999999999</v>
      </c>
      <c r="O135" s="260">
        <v>28.378017999999997</v>
      </c>
      <c r="P135" s="260">
        <v>28.388508999999999</v>
      </c>
      <c r="Q135" s="260">
        <v>28.398937999999998</v>
      </c>
      <c r="R135" s="260">
        <v>28.409305999999997</v>
      </c>
      <c r="S135" s="260">
        <v>28.419611999999997</v>
      </c>
      <c r="T135" s="260">
        <v>28.429855999999997</v>
      </c>
      <c r="U135" s="260">
        <v>28.44004</v>
      </c>
      <c r="V135" s="260">
        <v>28.450161999999999</v>
      </c>
      <c r="W135" s="260">
        <v>28.460222999999999</v>
      </c>
      <c r="X135" s="260">
        <v>28.470222999999997</v>
      </c>
      <c r="Y135" s="260">
        <v>28.480162999999997</v>
      </c>
      <c r="Z135" s="260">
        <v>28.490043</v>
      </c>
      <c r="AA135" s="260">
        <v>28.499862</v>
      </c>
      <c r="AB135" s="260">
        <v>28.509622</v>
      </c>
      <c r="AC135" s="260">
        <v>28.519321999999999</v>
      </c>
      <c r="AD135" s="260">
        <v>28.528962</v>
      </c>
      <c r="AE135" s="260">
        <v>28.538543999999998</v>
      </c>
      <c r="AF135" s="260">
        <v>28.548067</v>
      </c>
      <c r="AG135" s="260">
        <v>28.557530999999997</v>
      </c>
      <c r="AH135" s="260">
        <v>28.566936999999999</v>
      </c>
      <c r="AI135" s="260">
        <v>28.576283999999998</v>
      </c>
      <c r="AJ135" s="260">
        <v>28.585573999999998</v>
      </c>
      <c r="AK135" s="260">
        <v>28.594805999999998</v>
      </c>
      <c r="AL135" s="260">
        <v>28.603980999999997</v>
      </c>
      <c r="AM135" s="260">
        <v>28.613098999999998</v>
      </c>
      <c r="AN135" s="260">
        <v>28.622159999999997</v>
      </c>
      <c r="AO135" s="260">
        <v>28.631163999999998</v>
      </c>
      <c r="AP135" s="260">
        <v>28.640111999999998</v>
      </c>
      <c r="AQ135" s="260">
        <v>28.649003</v>
      </c>
      <c r="AR135" s="260">
        <v>28.657838999999999</v>
      </c>
      <c r="AS135" s="260">
        <v>28.666619999999998</v>
      </c>
      <c r="AT135" s="260">
        <v>28.675345</v>
      </c>
      <c r="AU135" s="260">
        <v>28.684013999999998</v>
      </c>
      <c r="AV135" s="260">
        <v>28.692629999999998</v>
      </c>
      <c r="AW135" s="260">
        <v>28.70119</v>
      </c>
      <c r="AX135" s="260">
        <v>28.709695999999997</v>
      </c>
      <c r="AY135" s="260">
        <v>28.718147999999999</v>
      </c>
      <c r="AZ135" s="260">
        <v>28.726545999999999</v>
      </c>
      <c r="BA135" s="260">
        <v>28.734890999999998</v>
      </c>
      <c r="BB135" s="260">
        <v>28.743182999999998</v>
      </c>
      <c r="BC135" s="260">
        <v>28.751420999999997</v>
      </c>
      <c r="BD135" s="260">
        <v>28.759606999999999</v>
      </c>
      <c r="BE135" s="260">
        <v>28.76774</v>
      </c>
      <c r="BF135" s="260">
        <v>28.77582</v>
      </c>
      <c r="BG135" s="260">
        <v>28.783849</v>
      </c>
      <c r="BH135" s="260">
        <v>28.791826</v>
      </c>
      <c r="BI135" s="260">
        <v>28.799751999999998</v>
      </c>
      <c r="BJ135" s="260">
        <v>28.807625999999999</v>
      </c>
      <c r="BK135" s="260">
        <v>28.815448999999997</v>
      </c>
      <c r="BL135" s="260">
        <v>28.823221999999998</v>
      </c>
      <c r="BM135" s="260">
        <v>28.830943999999999</v>
      </c>
      <c r="BN135" s="260">
        <v>28.838615999999998</v>
      </c>
      <c r="BO135" s="260">
        <v>28.846238</v>
      </c>
      <c r="BP135" s="260">
        <v>28.853809999999999</v>
      </c>
      <c r="BQ135" s="260">
        <v>28.861332999999998</v>
      </c>
      <c r="BR135" s="260">
        <v>28.868807</v>
      </c>
      <c r="BS135" s="260">
        <v>28.876231999999998</v>
      </c>
      <c r="BT135" s="260">
        <v>28.883607999999999</v>
      </c>
      <c r="BU135" s="260">
        <v>28.890936</v>
      </c>
      <c r="BV135" s="260">
        <v>28.898215999999998</v>
      </c>
      <c r="BW135" s="260">
        <v>28.905446999999999</v>
      </c>
      <c r="BX135" s="260">
        <v>28.912630999999998</v>
      </c>
      <c r="BY135" s="260">
        <v>28.919767999999998</v>
      </c>
      <c r="BZ135" s="260">
        <v>28.926857999999999</v>
      </c>
      <c r="CA135" s="260">
        <v>28.933900999999999</v>
      </c>
      <c r="CB135" s="260">
        <v>28.940897</v>
      </c>
      <c r="CC135" s="260">
        <v>28.947846999999999</v>
      </c>
      <c r="CD135" s="260">
        <v>28.954750999999998</v>
      </c>
      <c r="CE135" s="260">
        <v>28.961608999999999</v>
      </c>
      <c r="CF135" s="260">
        <v>28.968420999999999</v>
      </c>
      <c r="CG135" s="260">
        <v>28.975187999999999</v>
      </c>
      <c r="CH135" s="260">
        <v>28.981909999999999</v>
      </c>
    </row>
    <row r="136" spans="1:86" x14ac:dyDescent="0.25">
      <c r="A136" s="170">
        <v>2</v>
      </c>
      <c r="B136" s="170">
        <v>25</v>
      </c>
      <c r="C136" s="259">
        <v>28.3983154296875</v>
      </c>
      <c r="D136" s="259">
        <v>28.413925170898438</v>
      </c>
      <c r="E136" s="259">
        <v>28.429288864135742</v>
      </c>
      <c r="F136" s="259">
        <v>28.444406509399414</v>
      </c>
      <c r="G136" s="259">
        <v>28.459287643432617</v>
      </c>
      <c r="H136" s="259">
        <v>28.473934173583984</v>
      </c>
      <c r="I136" s="260">
        <v>28.175325999999998</v>
      </c>
      <c r="J136" s="260">
        <v>28.186512999999998</v>
      </c>
      <c r="K136" s="260">
        <v>28.197634999999998</v>
      </c>
      <c r="L136" s="260">
        <v>28.208691999999999</v>
      </c>
      <c r="M136" s="260">
        <v>28.219683999999997</v>
      </c>
      <c r="N136" s="260">
        <v>28.230611999999997</v>
      </c>
      <c r="O136" s="260">
        <v>28.241474999999998</v>
      </c>
      <c r="P136" s="260">
        <v>28.252274999999997</v>
      </c>
      <c r="Q136" s="260">
        <v>28.263012</v>
      </c>
      <c r="R136" s="260">
        <v>28.273685</v>
      </c>
      <c r="S136" s="260">
        <v>28.284295</v>
      </c>
      <c r="T136" s="260">
        <v>28.294841999999999</v>
      </c>
      <c r="U136" s="260">
        <v>28.305325999999997</v>
      </c>
      <c r="V136" s="260">
        <v>28.315746999999998</v>
      </c>
      <c r="W136" s="260">
        <v>28.326107</v>
      </c>
      <c r="X136" s="260">
        <v>28.336403999999998</v>
      </c>
      <c r="Y136" s="260">
        <v>28.346639</v>
      </c>
      <c r="Z136" s="260">
        <v>28.356811999999998</v>
      </c>
      <c r="AA136" s="260">
        <v>28.366923999999997</v>
      </c>
      <c r="AB136" s="260">
        <v>28.376973999999997</v>
      </c>
      <c r="AC136" s="260">
        <v>28.386963999999999</v>
      </c>
      <c r="AD136" s="260">
        <v>28.396892999999999</v>
      </c>
      <c r="AE136" s="260">
        <v>28.406760999999999</v>
      </c>
      <c r="AF136" s="260">
        <v>28.416568999999999</v>
      </c>
      <c r="AG136" s="260">
        <v>28.426316999999997</v>
      </c>
      <c r="AH136" s="260">
        <v>28.436005999999999</v>
      </c>
      <c r="AI136" s="260">
        <v>28.445634999999999</v>
      </c>
      <c r="AJ136" s="260">
        <v>28.455203999999998</v>
      </c>
      <c r="AK136" s="260">
        <v>28.464714999999998</v>
      </c>
      <c r="AL136" s="260">
        <v>28.474166</v>
      </c>
      <c r="AM136" s="260">
        <v>28.483559999999997</v>
      </c>
      <c r="AN136" s="260">
        <v>28.492894999999997</v>
      </c>
      <c r="AO136" s="260">
        <v>28.502171999999998</v>
      </c>
      <c r="AP136" s="260">
        <v>28.511391</v>
      </c>
      <c r="AQ136" s="260">
        <v>28.520553</v>
      </c>
      <c r="AR136" s="260">
        <v>28.529657</v>
      </c>
      <c r="AS136" s="260">
        <v>28.538705</v>
      </c>
      <c r="AT136" s="260">
        <v>28.547695999999998</v>
      </c>
      <c r="AU136" s="260">
        <v>28.556629999999998</v>
      </c>
      <c r="AV136" s="260">
        <v>28.565507999999998</v>
      </c>
      <c r="AW136" s="260">
        <v>28.574330999999997</v>
      </c>
      <c r="AX136" s="260">
        <v>28.583096999999999</v>
      </c>
      <c r="AY136" s="260">
        <v>28.591808</v>
      </c>
      <c r="AZ136" s="260">
        <v>28.600463999999999</v>
      </c>
      <c r="BA136" s="260">
        <v>28.609064999999998</v>
      </c>
      <c r="BB136" s="260">
        <v>28.617611</v>
      </c>
      <c r="BC136" s="260">
        <v>28.626102999999997</v>
      </c>
      <c r="BD136" s="260">
        <v>28.634540999999999</v>
      </c>
      <c r="BE136" s="260">
        <v>28.642924999999998</v>
      </c>
      <c r="BF136" s="260">
        <v>28.651254999999999</v>
      </c>
      <c r="BG136" s="260">
        <v>28.659531999999999</v>
      </c>
      <c r="BH136" s="260">
        <v>28.667755</v>
      </c>
      <c r="BI136" s="260">
        <v>28.675926</v>
      </c>
      <c r="BJ136" s="260">
        <v>28.684044999999998</v>
      </c>
      <c r="BK136" s="260">
        <v>28.692110999999997</v>
      </c>
      <c r="BL136" s="260">
        <v>28.700125</v>
      </c>
      <c r="BM136" s="260">
        <v>28.708086999999999</v>
      </c>
      <c r="BN136" s="260">
        <v>28.715997999999999</v>
      </c>
      <c r="BO136" s="260">
        <v>28.723856999999999</v>
      </c>
      <c r="BP136" s="260">
        <v>28.731665</v>
      </c>
      <c r="BQ136" s="260">
        <v>28.739422999999999</v>
      </c>
      <c r="BR136" s="260">
        <v>28.747129999999999</v>
      </c>
      <c r="BS136" s="260">
        <v>28.754787</v>
      </c>
      <c r="BT136" s="260">
        <v>28.762394</v>
      </c>
      <c r="BU136" s="260">
        <v>28.769950999999999</v>
      </c>
      <c r="BV136" s="260">
        <v>28.777459</v>
      </c>
      <c r="BW136" s="260">
        <v>28.784917999999998</v>
      </c>
      <c r="BX136" s="260">
        <v>28.792327999999998</v>
      </c>
      <c r="BY136" s="260">
        <v>28.799688999999997</v>
      </c>
      <c r="BZ136" s="260">
        <v>28.807001</v>
      </c>
      <c r="CA136" s="260">
        <v>28.814266</v>
      </c>
      <c r="CB136" s="260">
        <v>28.821482999999997</v>
      </c>
      <c r="CC136" s="260">
        <v>28.828651999999998</v>
      </c>
      <c r="CD136" s="260">
        <v>28.835773</v>
      </c>
      <c r="CE136" s="260">
        <v>28.842848</v>
      </c>
      <c r="CF136" s="260">
        <v>28.849875999999998</v>
      </c>
      <c r="CG136" s="260">
        <v>28.856856999999998</v>
      </c>
      <c r="CH136" s="260">
        <v>28.863792</v>
      </c>
    </row>
    <row r="137" spans="1:86" x14ac:dyDescent="0.25">
      <c r="A137" s="170">
        <v>2</v>
      </c>
      <c r="B137" s="170">
        <v>26</v>
      </c>
      <c r="C137" s="259">
        <v>28.252584457397461</v>
      </c>
      <c r="D137" s="259">
        <v>28.268831253051758</v>
      </c>
      <c r="E137" s="259">
        <v>28.284822463989258</v>
      </c>
      <c r="F137" s="259">
        <v>28.300561904907227</v>
      </c>
      <c r="G137" s="259">
        <v>28.316051483154297</v>
      </c>
      <c r="H137" s="259">
        <v>28.331298828125</v>
      </c>
      <c r="I137" s="260">
        <v>28.032050999999999</v>
      </c>
      <c r="J137" s="260">
        <v>28.043571</v>
      </c>
      <c r="K137" s="260">
        <v>28.055024</v>
      </c>
      <c r="L137" s="260">
        <v>28.066410999999999</v>
      </c>
      <c r="M137" s="260">
        <v>28.077729999999999</v>
      </c>
      <c r="N137" s="260">
        <v>28.088982999999999</v>
      </c>
      <c r="O137" s="260">
        <v>28.100171</v>
      </c>
      <c r="P137" s="260">
        <v>28.111291999999999</v>
      </c>
      <c r="Q137" s="260">
        <v>28.122349</v>
      </c>
      <c r="R137" s="260">
        <v>28.13334</v>
      </c>
      <c r="S137" s="260">
        <v>28.144266999999999</v>
      </c>
      <c r="T137" s="260">
        <v>28.155128999999999</v>
      </c>
      <c r="U137" s="260">
        <v>28.165927</v>
      </c>
      <c r="V137" s="260">
        <v>28.176659999999998</v>
      </c>
      <c r="W137" s="260">
        <v>28.187329999999999</v>
      </c>
      <c r="X137" s="260">
        <v>28.197935999999999</v>
      </c>
      <c r="Y137" s="260">
        <v>28.208478999999997</v>
      </c>
      <c r="Z137" s="260">
        <v>28.218957999999997</v>
      </c>
      <c r="AA137" s="260">
        <v>28.229374999999997</v>
      </c>
      <c r="AB137" s="260">
        <v>28.239728999999997</v>
      </c>
      <c r="AC137" s="260">
        <v>28.250019999999999</v>
      </c>
      <c r="AD137" s="260">
        <v>28.260248999999998</v>
      </c>
      <c r="AE137" s="260">
        <v>28.270415999999997</v>
      </c>
      <c r="AF137" s="260">
        <v>28.280521999999998</v>
      </c>
      <c r="AG137" s="260">
        <v>28.290565999999998</v>
      </c>
      <c r="AH137" s="260">
        <v>28.300549</v>
      </c>
      <c r="AI137" s="260">
        <v>28.310471</v>
      </c>
      <c r="AJ137" s="260">
        <v>28.320331999999997</v>
      </c>
      <c r="AK137" s="260">
        <v>28.330133</v>
      </c>
      <c r="AL137" s="260">
        <v>28.339872999999997</v>
      </c>
      <c r="AM137" s="260">
        <v>28.349553</v>
      </c>
      <c r="AN137" s="260">
        <v>28.359173999999999</v>
      </c>
      <c r="AO137" s="260">
        <v>28.368735999999998</v>
      </c>
      <c r="AP137" s="260">
        <v>28.378238</v>
      </c>
      <c r="AQ137" s="260">
        <v>28.387680999999997</v>
      </c>
      <c r="AR137" s="260">
        <v>28.397064999999998</v>
      </c>
      <c r="AS137" s="260">
        <v>28.406390999999999</v>
      </c>
      <c r="AT137" s="260">
        <v>28.415658999999998</v>
      </c>
      <c r="AU137" s="260">
        <v>28.424868999999997</v>
      </c>
      <c r="AV137" s="260">
        <v>28.434021999999999</v>
      </c>
      <c r="AW137" s="260">
        <v>28.443116</v>
      </c>
      <c r="AX137" s="260">
        <v>28.452154</v>
      </c>
      <c r="AY137" s="260">
        <v>28.461134999999999</v>
      </c>
      <c r="AZ137" s="260">
        <v>28.470058999999999</v>
      </c>
      <c r="BA137" s="260">
        <v>28.478926999999999</v>
      </c>
      <c r="BB137" s="260">
        <v>28.487738999999998</v>
      </c>
      <c r="BC137" s="260">
        <v>28.496494999999999</v>
      </c>
      <c r="BD137" s="260">
        <v>28.505195999999998</v>
      </c>
      <c r="BE137" s="260">
        <v>28.513840999999999</v>
      </c>
      <c r="BF137" s="260">
        <v>28.522430999999997</v>
      </c>
      <c r="BG137" s="260">
        <v>28.530965999999999</v>
      </c>
      <c r="BH137" s="260">
        <v>28.539446999999999</v>
      </c>
      <c r="BI137" s="260">
        <v>28.547874</v>
      </c>
      <c r="BJ137" s="260">
        <v>28.556245999999998</v>
      </c>
      <c r="BK137" s="260">
        <v>28.564564999999998</v>
      </c>
      <c r="BL137" s="260">
        <v>28.572830999999997</v>
      </c>
      <c r="BM137" s="260">
        <v>28.581042999999998</v>
      </c>
      <c r="BN137" s="260">
        <v>28.589202</v>
      </c>
      <c r="BO137" s="260">
        <v>28.597308999999999</v>
      </c>
      <c r="BP137" s="260">
        <v>28.605362999999997</v>
      </c>
      <c r="BQ137" s="260">
        <v>28.613364999999998</v>
      </c>
      <c r="BR137" s="260">
        <v>28.621316</v>
      </c>
      <c r="BS137" s="260">
        <v>28.629214999999999</v>
      </c>
      <c r="BT137" s="260">
        <v>28.637062</v>
      </c>
      <c r="BU137" s="260">
        <v>28.644857999999999</v>
      </c>
      <c r="BV137" s="260">
        <v>28.652604</v>
      </c>
      <c r="BW137" s="260">
        <v>28.660298999999998</v>
      </c>
      <c r="BX137" s="260">
        <v>28.667943999999999</v>
      </c>
      <c r="BY137" s="260">
        <v>28.675538</v>
      </c>
      <c r="BZ137" s="260">
        <v>28.683083999999997</v>
      </c>
      <c r="CA137" s="260">
        <v>28.690579</v>
      </c>
      <c r="CB137" s="260">
        <v>28.698025999999999</v>
      </c>
      <c r="CC137" s="260">
        <v>28.705423</v>
      </c>
      <c r="CD137" s="260">
        <v>28.712771999999998</v>
      </c>
      <c r="CE137" s="260">
        <v>28.720071999999998</v>
      </c>
      <c r="CF137" s="260">
        <v>28.727323999999999</v>
      </c>
      <c r="CG137" s="260">
        <v>28.734528999999998</v>
      </c>
      <c r="CH137" s="260">
        <v>28.741685</v>
      </c>
    </row>
    <row r="138" spans="1:86" x14ac:dyDescent="0.25">
      <c r="A138" s="170">
        <v>2</v>
      </c>
      <c r="B138" s="170">
        <v>27</v>
      </c>
      <c r="C138" s="259">
        <v>28.101743698120117</v>
      </c>
      <c r="D138" s="259">
        <v>28.118658065795898</v>
      </c>
      <c r="E138" s="259">
        <v>28.135305404663086</v>
      </c>
      <c r="F138" s="259">
        <v>28.151689529418945</v>
      </c>
      <c r="G138" s="259">
        <v>28.167816162109375</v>
      </c>
      <c r="H138" s="259">
        <v>28.183689117431641</v>
      </c>
      <c r="I138" s="260">
        <v>27.883896999999997</v>
      </c>
      <c r="J138" s="260">
        <v>27.895762999999999</v>
      </c>
      <c r="K138" s="260">
        <v>27.907558999999999</v>
      </c>
      <c r="L138" s="260">
        <v>27.919286</v>
      </c>
      <c r="M138" s="260">
        <v>27.930944999999998</v>
      </c>
      <c r="N138" s="260">
        <v>27.942536</v>
      </c>
      <c r="O138" s="260">
        <v>27.954058999999997</v>
      </c>
      <c r="P138" s="260">
        <v>27.965513999999999</v>
      </c>
      <c r="Q138" s="260">
        <v>27.976903</v>
      </c>
      <c r="R138" s="260">
        <v>27.988225</v>
      </c>
      <c r="S138" s="260">
        <v>27.999479999999998</v>
      </c>
      <c r="T138" s="260">
        <v>28.010669</v>
      </c>
      <c r="U138" s="260">
        <v>28.021792999999999</v>
      </c>
      <c r="V138" s="260">
        <v>28.032850999999997</v>
      </c>
      <c r="W138" s="260">
        <v>28.043842999999999</v>
      </c>
      <c r="X138" s="260">
        <v>28.054769999999998</v>
      </c>
      <c r="Y138" s="260">
        <v>28.065631999999997</v>
      </c>
      <c r="Z138" s="260">
        <v>28.076429999999998</v>
      </c>
      <c r="AA138" s="260">
        <v>28.087163</v>
      </c>
      <c r="AB138" s="260">
        <v>28.097832</v>
      </c>
      <c r="AC138" s="260">
        <v>28.108436999999999</v>
      </c>
      <c r="AD138" s="260">
        <v>28.118977999999998</v>
      </c>
      <c r="AE138" s="260">
        <v>28.129455999999998</v>
      </c>
      <c r="AF138" s="260">
        <v>28.139869999999998</v>
      </c>
      <c r="AG138" s="260">
        <v>28.150220999999998</v>
      </c>
      <c r="AH138" s="260">
        <v>28.160509999999999</v>
      </c>
      <c r="AI138" s="260">
        <v>28.170735999999998</v>
      </c>
      <c r="AJ138" s="260">
        <v>28.180899999999998</v>
      </c>
      <c r="AK138" s="260">
        <v>28.191001999999997</v>
      </c>
      <c r="AL138" s="260">
        <v>28.201042999999999</v>
      </c>
      <c r="AM138" s="260">
        <v>28.211020999999999</v>
      </c>
      <c r="AN138" s="260">
        <v>28.220938999999998</v>
      </c>
      <c r="AO138" s="260">
        <v>28.230795999999998</v>
      </c>
      <c r="AP138" s="260">
        <v>28.240591999999999</v>
      </c>
      <c r="AQ138" s="260">
        <v>28.250326999999999</v>
      </c>
      <c r="AR138" s="260">
        <v>28.260002</v>
      </c>
      <c r="AS138" s="260">
        <v>28.269617999999998</v>
      </c>
      <c r="AT138" s="260">
        <v>28.279173</v>
      </c>
      <c r="AU138" s="260">
        <v>28.288668999999999</v>
      </c>
      <c r="AV138" s="260">
        <v>28.298106999999998</v>
      </c>
      <c r="AW138" s="260">
        <v>28.307485</v>
      </c>
      <c r="AX138" s="260">
        <v>28.316803999999998</v>
      </c>
      <c r="AY138" s="260">
        <v>28.326065999999997</v>
      </c>
      <c r="AZ138" s="260">
        <v>28.335269</v>
      </c>
      <c r="BA138" s="260">
        <v>28.344414</v>
      </c>
      <c r="BB138" s="260">
        <v>28.353501999999999</v>
      </c>
      <c r="BC138" s="260">
        <v>28.362531999999998</v>
      </c>
      <c r="BD138" s="260">
        <v>28.371504999999999</v>
      </c>
      <c r="BE138" s="260">
        <v>28.380421999999999</v>
      </c>
      <c r="BF138" s="260">
        <v>28.389281999999998</v>
      </c>
      <c r="BG138" s="260">
        <v>28.398085999999999</v>
      </c>
      <c r="BH138" s="260">
        <v>28.406834</v>
      </c>
      <c r="BI138" s="260">
        <v>28.415526</v>
      </c>
      <c r="BJ138" s="260">
        <v>28.424163</v>
      </c>
      <c r="BK138" s="260">
        <v>28.432744</v>
      </c>
      <c r="BL138" s="260">
        <v>28.441271</v>
      </c>
      <c r="BM138" s="260">
        <v>28.449742999999998</v>
      </c>
      <c r="BN138" s="260">
        <v>28.458161</v>
      </c>
      <c r="BO138" s="260">
        <v>28.466524999999997</v>
      </c>
      <c r="BP138" s="260">
        <v>28.474833999999998</v>
      </c>
      <c r="BQ138" s="260">
        <v>28.483090999999998</v>
      </c>
      <c r="BR138" s="260">
        <v>28.491294</v>
      </c>
      <c r="BS138" s="260">
        <v>28.499444</v>
      </c>
      <c r="BT138" s="260">
        <v>28.507541</v>
      </c>
      <c r="BU138" s="260">
        <v>28.515585999999999</v>
      </c>
      <c r="BV138" s="260">
        <v>28.523577999999997</v>
      </c>
      <c r="BW138" s="260">
        <v>28.531518999999999</v>
      </c>
      <c r="BX138" s="260">
        <v>28.539407999999998</v>
      </c>
      <c r="BY138" s="260">
        <v>28.547245</v>
      </c>
      <c r="BZ138" s="260">
        <v>28.555031999999997</v>
      </c>
      <c r="CA138" s="260">
        <v>28.562766999999997</v>
      </c>
      <c r="CB138" s="260">
        <v>28.570452</v>
      </c>
      <c r="CC138" s="260">
        <v>28.578087</v>
      </c>
      <c r="CD138" s="260">
        <v>28.585671999999999</v>
      </c>
      <c r="CE138" s="260">
        <v>28.593207</v>
      </c>
      <c r="CF138" s="260">
        <v>28.600691999999999</v>
      </c>
      <c r="CG138" s="260">
        <v>28.608127999999997</v>
      </c>
      <c r="CH138" s="260">
        <v>28.615514999999998</v>
      </c>
    </row>
    <row r="139" spans="1:86" x14ac:dyDescent="0.25">
      <c r="A139" s="170">
        <v>2</v>
      </c>
      <c r="B139" s="170">
        <v>28</v>
      </c>
      <c r="C139" s="259">
        <v>27.945674896240234</v>
      </c>
      <c r="D139" s="259">
        <v>27.963281631469727</v>
      </c>
      <c r="E139" s="259">
        <v>27.980611801147461</v>
      </c>
      <c r="F139" s="259">
        <v>27.99766731262207</v>
      </c>
      <c r="G139" s="259">
        <v>28.014457702636719</v>
      </c>
      <c r="H139" s="259">
        <v>28.030982971191406</v>
      </c>
      <c r="I139" s="260">
        <v>27.730960999999997</v>
      </c>
      <c r="J139" s="260">
        <v>27.743181</v>
      </c>
      <c r="K139" s="260">
        <v>27.755329999999997</v>
      </c>
      <c r="L139" s="260">
        <v>27.767408</v>
      </c>
      <c r="M139" s="260">
        <v>27.779415999999998</v>
      </c>
      <c r="N139" s="260">
        <v>27.791353999999998</v>
      </c>
      <c r="O139" s="260">
        <v>27.803222999999999</v>
      </c>
      <c r="P139" s="260">
        <v>27.815023</v>
      </c>
      <c r="Q139" s="260">
        <v>27.826753999999998</v>
      </c>
      <c r="R139" s="260">
        <v>27.838417</v>
      </c>
      <c r="S139" s="260">
        <v>27.850010999999999</v>
      </c>
      <c r="T139" s="260">
        <v>27.861537999999999</v>
      </c>
      <c r="U139" s="260">
        <v>27.872996999999998</v>
      </c>
      <c r="V139" s="260">
        <v>27.88439</v>
      </c>
      <c r="W139" s="260">
        <v>27.895714999999999</v>
      </c>
      <c r="X139" s="260">
        <v>27.906972999999997</v>
      </c>
      <c r="Y139" s="260">
        <v>27.918164999999998</v>
      </c>
      <c r="Z139" s="260">
        <v>27.929290999999999</v>
      </c>
      <c r="AA139" s="260">
        <v>27.940349999999999</v>
      </c>
      <c r="AB139" s="260">
        <v>27.951343999999999</v>
      </c>
      <c r="AC139" s="260">
        <v>27.962273</v>
      </c>
      <c r="AD139" s="260">
        <v>27.973136</v>
      </c>
      <c r="AE139" s="260">
        <v>27.983933999999998</v>
      </c>
      <c r="AF139" s="260">
        <v>27.994667</v>
      </c>
      <c r="AG139" s="260">
        <v>28.005336</v>
      </c>
      <c r="AH139" s="260">
        <v>28.015939999999997</v>
      </c>
      <c r="AI139" s="260">
        <v>28.026479999999999</v>
      </c>
      <c r="AJ139" s="260">
        <v>28.036956999999997</v>
      </c>
      <c r="AK139" s="260">
        <v>28.047369999999997</v>
      </c>
      <c r="AL139" s="260">
        <v>28.05772</v>
      </c>
      <c r="AM139" s="260">
        <v>28.068006999999998</v>
      </c>
      <c r="AN139" s="260">
        <v>28.078230999999999</v>
      </c>
      <c r="AO139" s="260">
        <v>28.088391999999999</v>
      </c>
      <c r="AP139" s="260">
        <v>28.098490999999999</v>
      </c>
      <c r="AQ139" s="260">
        <v>28.108528</v>
      </c>
      <c r="AR139" s="260">
        <v>28.118503999999998</v>
      </c>
      <c r="AS139" s="260">
        <v>28.128418</v>
      </c>
      <c r="AT139" s="260">
        <v>28.138271</v>
      </c>
      <c r="AU139" s="260">
        <v>28.148061999999999</v>
      </c>
      <c r="AV139" s="260">
        <v>28.157793999999999</v>
      </c>
      <c r="AW139" s="260">
        <v>28.167463999999999</v>
      </c>
      <c r="AX139" s="260">
        <v>28.177074999999999</v>
      </c>
      <c r="AY139" s="260">
        <v>28.186626</v>
      </c>
      <c r="AZ139" s="260">
        <v>28.196116999999997</v>
      </c>
      <c r="BA139" s="260">
        <v>28.205548</v>
      </c>
      <c r="BB139" s="260">
        <v>28.214921</v>
      </c>
      <c r="BC139" s="260">
        <v>28.224235</v>
      </c>
      <c r="BD139" s="260">
        <v>28.23349</v>
      </c>
      <c r="BE139" s="260">
        <v>28.242687</v>
      </c>
      <c r="BF139" s="260">
        <v>28.251825999999998</v>
      </c>
      <c r="BG139" s="260">
        <v>28.260907</v>
      </c>
      <c r="BH139" s="260">
        <v>28.269931</v>
      </c>
      <c r="BI139" s="260">
        <v>28.278897999999998</v>
      </c>
      <c r="BJ139" s="260">
        <v>28.287806999999997</v>
      </c>
      <c r="BK139" s="260">
        <v>28.296659999999999</v>
      </c>
      <c r="BL139" s="260">
        <v>28.305456999999997</v>
      </c>
      <c r="BM139" s="260">
        <v>28.314197</v>
      </c>
      <c r="BN139" s="260">
        <v>28.322882</v>
      </c>
      <c r="BO139" s="260">
        <v>28.331510999999999</v>
      </c>
      <c r="BP139" s="260">
        <v>28.340084999999998</v>
      </c>
      <c r="BQ139" s="260">
        <v>28.348602999999997</v>
      </c>
      <c r="BR139" s="260">
        <v>28.357067999999998</v>
      </c>
      <c r="BS139" s="260">
        <v>28.365476999999998</v>
      </c>
      <c r="BT139" s="260">
        <v>28.373832</v>
      </c>
      <c r="BU139" s="260">
        <v>28.382133999999997</v>
      </c>
      <c r="BV139" s="260">
        <v>28.390381999999999</v>
      </c>
      <c r="BW139" s="260">
        <v>28.398575999999998</v>
      </c>
      <c r="BX139" s="260">
        <v>28.406717</v>
      </c>
      <c r="BY139" s="260">
        <v>28.414805999999999</v>
      </c>
      <c r="BZ139" s="260">
        <v>28.422841999999999</v>
      </c>
      <c r="CA139" s="260">
        <v>28.430824999999999</v>
      </c>
      <c r="CB139" s="260">
        <v>28.438756999999999</v>
      </c>
      <c r="CC139" s="260">
        <v>28.446636999999999</v>
      </c>
      <c r="CD139" s="260">
        <v>28.454464999999999</v>
      </c>
      <c r="CE139" s="260">
        <v>28.462242999999997</v>
      </c>
      <c r="CF139" s="260">
        <v>28.469968999999999</v>
      </c>
      <c r="CG139" s="260">
        <v>28.477644999999999</v>
      </c>
      <c r="CH139" s="260">
        <v>28.48527</v>
      </c>
    </row>
    <row r="140" spans="1:86" x14ac:dyDescent="0.25">
      <c r="A140" s="170">
        <v>2</v>
      </c>
      <c r="B140" s="170">
        <v>29</v>
      </c>
      <c r="C140" s="259">
        <v>27.784269332885742</v>
      </c>
      <c r="D140" s="259">
        <v>27.802597045898438</v>
      </c>
      <c r="E140" s="259">
        <v>27.820636749267578</v>
      </c>
      <c r="F140" s="259">
        <v>27.838390350341797</v>
      </c>
      <c r="G140" s="259">
        <v>27.855867385864258</v>
      </c>
      <c r="H140" s="259">
        <v>27.873071670532227</v>
      </c>
      <c r="I140" s="260">
        <v>27.573369999999997</v>
      </c>
      <c r="J140" s="260">
        <v>27.585951999999999</v>
      </c>
      <c r="K140" s="260">
        <v>27.598461</v>
      </c>
      <c r="L140" s="260">
        <v>27.610897999999999</v>
      </c>
      <c r="M140" s="260">
        <v>27.623262999999998</v>
      </c>
      <c r="N140" s="260">
        <v>27.635555999999998</v>
      </c>
      <c r="O140" s="260">
        <v>27.647779</v>
      </c>
      <c r="P140" s="260">
        <v>27.659931</v>
      </c>
      <c r="Q140" s="260">
        <v>27.672011999999999</v>
      </c>
      <c r="R140" s="260">
        <v>27.684023999999997</v>
      </c>
      <c r="S140" s="260">
        <v>27.695965999999999</v>
      </c>
      <c r="T140" s="260">
        <v>27.707837999999999</v>
      </c>
      <c r="U140" s="260">
        <v>27.719642</v>
      </c>
      <c r="V140" s="260">
        <v>27.731375999999997</v>
      </c>
      <c r="W140" s="260">
        <v>27.743041999999999</v>
      </c>
      <c r="X140" s="260">
        <v>27.754639999999998</v>
      </c>
      <c r="Y140" s="260">
        <v>27.766169999999999</v>
      </c>
      <c r="Z140" s="260">
        <v>27.777631999999997</v>
      </c>
      <c r="AA140" s="260">
        <v>27.789026</v>
      </c>
      <c r="AB140" s="260">
        <v>27.800352999999998</v>
      </c>
      <c r="AC140" s="260">
        <v>27.811612999999998</v>
      </c>
      <c r="AD140" s="260">
        <v>27.822806</v>
      </c>
      <c r="AE140" s="260">
        <v>27.833931999999997</v>
      </c>
      <c r="AF140" s="260">
        <v>27.844991999999998</v>
      </c>
      <c r="AG140" s="260">
        <v>27.855985999999998</v>
      </c>
      <c r="AH140" s="260">
        <v>27.866913999999998</v>
      </c>
      <c r="AI140" s="260">
        <v>27.877776999999998</v>
      </c>
      <c r="AJ140" s="260">
        <v>27.888573999999998</v>
      </c>
      <c r="AK140" s="260">
        <v>27.899305999999999</v>
      </c>
      <c r="AL140" s="260">
        <v>27.909972999999997</v>
      </c>
      <c r="AM140" s="260">
        <v>27.920576000000001</v>
      </c>
      <c r="AN140" s="260">
        <v>27.931113999999997</v>
      </c>
      <c r="AO140" s="260">
        <v>27.941587999999999</v>
      </c>
      <c r="AP140" s="260">
        <v>27.951998</v>
      </c>
      <c r="AQ140" s="260">
        <v>27.962344999999999</v>
      </c>
      <c r="AR140" s="260">
        <v>27.972628</v>
      </c>
      <c r="AS140" s="260">
        <v>27.982848999999998</v>
      </c>
      <c r="AT140" s="260">
        <v>27.993005999999998</v>
      </c>
      <c r="AU140" s="260">
        <v>28.003101999999998</v>
      </c>
      <c r="AV140" s="260">
        <v>28.013134999999998</v>
      </c>
      <c r="AW140" s="260">
        <v>28.023104999999997</v>
      </c>
      <c r="AX140" s="260">
        <v>28.033014999999999</v>
      </c>
      <c r="AY140" s="260">
        <v>28.042862</v>
      </c>
      <c r="AZ140" s="260">
        <v>28.052648999999999</v>
      </c>
      <c r="BA140" s="260">
        <v>28.062374999999999</v>
      </c>
      <c r="BB140" s="260">
        <v>28.072039999999998</v>
      </c>
      <c r="BC140" s="260">
        <v>28.081644999999998</v>
      </c>
      <c r="BD140" s="260">
        <v>28.091189</v>
      </c>
      <c r="BE140" s="260">
        <v>28.100673999999998</v>
      </c>
      <c r="BF140" s="260">
        <v>28.110098999999998</v>
      </c>
      <c r="BG140" s="260">
        <v>28.119464999999998</v>
      </c>
      <c r="BH140" s="260">
        <v>28.128771999999998</v>
      </c>
      <c r="BI140" s="260">
        <v>28.138020999999998</v>
      </c>
      <c r="BJ140" s="260">
        <v>28.147209999999998</v>
      </c>
      <c r="BK140" s="260">
        <v>28.156341999999999</v>
      </c>
      <c r="BL140" s="260">
        <v>28.165416</v>
      </c>
      <c r="BM140" s="260">
        <v>28.174431999999999</v>
      </c>
      <c r="BN140" s="260">
        <v>28.183391</v>
      </c>
      <c r="BO140" s="260">
        <v>28.192291999999998</v>
      </c>
      <c r="BP140" s="260">
        <v>28.201136999999999</v>
      </c>
      <c r="BQ140" s="260">
        <v>28.209925999999999</v>
      </c>
      <c r="BR140" s="260">
        <v>28.218657999999998</v>
      </c>
      <c r="BS140" s="260">
        <v>28.227333999999999</v>
      </c>
      <c r="BT140" s="260">
        <v>28.235954999999997</v>
      </c>
      <c r="BU140" s="260">
        <v>28.244519999999998</v>
      </c>
      <c r="BV140" s="260">
        <v>28.253029999999999</v>
      </c>
      <c r="BW140" s="260">
        <v>28.261485</v>
      </c>
      <c r="BX140" s="260">
        <v>28.269886</v>
      </c>
      <c r="BY140" s="260">
        <v>28.278231999999999</v>
      </c>
      <c r="BZ140" s="260">
        <v>28.286524</v>
      </c>
      <c r="CA140" s="260">
        <v>28.294763</v>
      </c>
      <c r="CB140" s="260">
        <v>28.302947999999997</v>
      </c>
      <c r="CC140" s="260">
        <v>28.31108</v>
      </c>
      <c r="CD140" s="260">
        <v>28.319158999999999</v>
      </c>
      <c r="CE140" s="260">
        <v>28.327185999999998</v>
      </c>
      <c r="CF140" s="260">
        <v>28.335159999999998</v>
      </c>
      <c r="CG140" s="260">
        <v>28.343081999999999</v>
      </c>
      <c r="CH140" s="260">
        <v>28.350951999999999</v>
      </c>
    </row>
    <row r="141" spans="1:86" x14ac:dyDescent="0.25">
      <c r="A141" s="170">
        <v>2</v>
      </c>
      <c r="B141" s="170">
        <v>30</v>
      </c>
      <c r="C141" s="259">
        <v>27.617406845092773</v>
      </c>
      <c r="D141" s="259">
        <v>27.636480331420898</v>
      </c>
      <c r="E141" s="259">
        <v>27.655254364013672</v>
      </c>
      <c r="F141" s="259">
        <v>27.673732757568359</v>
      </c>
      <c r="G141" s="259">
        <v>27.691923141479492</v>
      </c>
      <c r="H141" s="259">
        <v>27.709829330444336</v>
      </c>
      <c r="I141" s="260">
        <v>27.410933</v>
      </c>
      <c r="J141" s="260">
        <v>27.423884999999999</v>
      </c>
      <c r="K141" s="260">
        <v>27.436762999999999</v>
      </c>
      <c r="L141" s="260">
        <v>27.449566999999998</v>
      </c>
      <c r="M141" s="260">
        <v>27.462297</v>
      </c>
      <c r="N141" s="260">
        <v>27.474954</v>
      </c>
      <c r="O141" s="260">
        <v>27.487538999999998</v>
      </c>
      <c r="P141" s="260">
        <v>27.500052</v>
      </c>
      <c r="Q141" s="260">
        <v>27.512492999999999</v>
      </c>
      <c r="R141" s="260">
        <v>27.524861999999999</v>
      </c>
      <c r="S141" s="260">
        <v>27.53716</v>
      </c>
      <c r="T141" s="260">
        <v>27.549385999999998</v>
      </c>
      <c r="U141" s="260">
        <v>27.561543</v>
      </c>
      <c r="V141" s="260">
        <v>27.573629</v>
      </c>
      <c r="W141" s="260">
        <v>27.585643999999998</v>
      </c>
      <c r="X141" s="260">
        <v>27.59759</v>
      </c>
      <c r="Y141" s="260">
        <v>27.609466999999999</v>
      </c>
      <c r="Z141" s="260">
        <v>27.621272999999999</v>
      </c>
      <c r="AA141" s="260">
        <v>27.633011</v>
      </c>
      <c r="AB141" s="260">
        <v>27.644679999999997</v>
      </c>
      <c r="AC141" s="260">
        <v>27.656279999999999</v>
      </c>
      <c r="AD141" s="260">
        <v>27.667811</v>
      </c>
      <c r="AE141" s="260">
        <v>27.679275000000001</v>
      </c>
      <c r="AF141" s="260">
        <v>27.690669999999997</v>
      </c>
      <c r="AG141" s="260">
        <v>27.701998</v>
      </c>
      <c r="AH141" s="260">
        <v>27.713258</v>
      </c>
      <c r="AI141" s="260">
        <v>27.724450999999998</v>
      </c>
      <c r="AJ141" s="260">
        <v>27.735576999999999</v>
      </c>
      <c r="AK141" s="260">
        <v>27.746637</v>
      </c>
      <c r="AL141" s="260">
        <v>27.757628999999998</v>
      </c>
      <c r="AM141" s="260">
        <v>27.768556</v>
      </c>
      <c r="AN141" s="260">
        <v>27.779416999999999</v>
      </c>
      <c r="AO141" s="260">
        <v>27.790212</v>
      </c>
      <c r="AP141" s="260">
        <v>27.800941999999999</v>
      </c>
      <c r="AQ141" s="260">
        <v>27.811605999999998</v>
      </c>
      <c r="AR141" s="260">
        <v>27.822205999999998</v>
      </c>
      <c r="AS141" s="260">
        <v>27.832740999999999</v>
      </c>
      <c r="AT141" s="260">
        <v>27.843211999999998</v>
      </c>
      <c r="AU141" s="260">
        <v>27.853618999999998</v>
      </c>
      <c r="AV141" s="260">
        <v>27.863961</v>
      </c>
      <c r="AW141" s="260">
        <v>27.874240999999998</v>
      </c>
      <c r="AX141" s="260">
        <v>27.884456999999998</v>
      </c>
      <c r="AY141" s="260">
        <v>27.89461</v>
      </c>
      <c r="AZ141" s="260">
        <v>27.904699999999998</v>
      </c>
      <c r="BA141" s="260">
        <v>27.914728</v>
      </c>
      <c r="BB141" s="260">
        <v>27.924692999999998</v>
      </c>
      <c r="BC141" s="260">
        <v>27.934597</v>
      </c>
      <c r="BD141" s="260">
        <v>27.944438999999999</v>
      </c>
      <c r="BE141" s="260">
        <v>27.954218999999998</v>
      </c>
      <c r="BF141" s="260">
        <v>27.963939</v>
      </c>
      <c r="BG141" s="260">
        <v>27.973597999999999</v>
      </c>
      <c r="BH141" s="260">
        <v>27.983196</v>
      </c>
      <c r="BI141" s="260">
        <v>27.992733999999999</v>
      </c>
      <c r="BJ141" s="260">
        <v>28.002210999999999</v>
      </c>
      <c r="BK141" s="260">
        <v>28.01163</v>
      </c>
      <c r="BL141" s="260">
        <v>28.020987999999999</v>
      </c>
      <c r="BM141" s="260">
        <v>28.030287999999999</v>
      </c>
      <c r="BN141" s="260">
        <v>28.039528999999998</v>
      </c>
      <c r="BO141" s="260">
        <v>28.048710999999997</v>
      </c>
      <c r="BP141" s="260">
        <v>28.057834</v>
      </c>
      <c r="BQ141" s="260">
        <v>28.0669</v>
      </c>
      <c r="BR141" s="260">
        <v>28.075907999999998</v>
      </c>
      <c r="BS141" s="260">
        <v>28.084858999999998</v>
      </c>
      <c r="BT141" s="260">
        <v>28.093751999999999</v>
      </c>
      <c r="BU141" s="260">
        <v>28.102587999999997</v>
      </c>
      <c r="BV141" s="260">
        <v>28.111367999999999</v>
      </c>
      <c r="BW141" s="260">
        <v>28.120090999999999</v>
      </c>
      <c r="BX141" s="260">
        <v>28.128758999999999</v>
      </c>
      <c r="BY141" s="260">
        <v>28.137369999999997</v>
      </c>
      <c r="BZ141" s="260">
        <v>28.145925999999999</v>
      </c>
      <c r="CA141" s="260">
        <v>28.154426999999998</v>
      </c>
      <c r="CB141" s="260">
        <v>28.162872999999998</v>
      </c>
      <c r="CC141" s="260">
        <v>28.171263999999997</v>
      </c>
      <c r="CD141" s="260">
        <v>28.179600999999998</v>
      </c>
      <c r="CE141" s="260">
        <v>28.187884</v>
      </c>
      <c r="CF141" s="260">
        <v>28.196113</v>
      </c>
      <c r="CG141" s="260">
        <v>28.204287999999998</v>
      </c>
      <c r="CH141" s="260">
        <v>28.212410999999999</v>
      </c>
    </row>
    <row r="142" spans="1:86" x14ac:dyDescent="0.25">
      <c r="A142" s="170">
        <v>2</v>
      </c>
      <c r="B142" s="170">
        <v>31</v>
      </c>
      <c r="C142" s="259">
        <v>27.444772720336914</v>
      </c>
      <c r="D142" s="259">
        <v>27.464593887329102</v>
      </c>
      <c r="E142" s="259">
        <v>27.484104156494141</v>
      </c>
      <c r="F142" s="259">
        <v>27.503313064575195</v>
      </c>
      <c r="G142" s="259">
        <v>27.522220611572266</v>
      </c>
      <c r="H142" s="259">
        <v>27.540836334228516</v>
      </c>
      <c r="I142" s="260">
        <v>27.243431999999999</v>
      </c>
      <c r="J142" s="260">
        <v>27.256764999999998</v>
      </c>
      <c r="K142" s="260">
        <v>27.270021</v>
      </c>
      <c r="L142" s="260">
        <v>27.283201999999999</v>
      </c>
      <c r="M142" s="260">
        <v>27.296306999999999</v>
      </c>
      <c r="N142" s="260">
        <v>27.309338</v>
      </c>
      <c r="O142" s="260">
        <v>27.322293999999999</v>
      </c>
      <c r="P142" s="260">
        <v>27.335176999999998</v>
      </c>
      <c r="Q142" s="260">
        <v>27.347985999999999</v>
      </c>
      <c r="R142" s="260">
        <v>27.360723</v>
      </c>
      <c r="S142" s="260">
        <v>27.373386</v>
      </c>
      <c r="T142" s="260">
        <v>27.385977</v>
      </c>
      <c r="U142" s="260">
        <v>27.398495999999998</v>
      </c>
      <c r="V142" s="260">
        <v>27.410941999999999</v>
      </c>
      <c r="W142" s="260">
        <v>27.423316999999997</v>
      </c>
      <c r="X142" s="260">
        <v>27.435620999999998</v>
      </c>
      <c r="Y142" s="260">
        <v>27.447852999999999</v>
      </c>
      <c r="Z142" s="260">
        <v>27.460013999999997</v>
      </c>
      <c r="AA142" s="260">
        <v>27.472104999999999</v>
      </c>
      <c r="AB142" s="260">
        <v>27.484123999999998</v>
      </c>
      <c r="AC142" s="260">
        <v>27.496074</v>
      </c>
      <c r="AD142" s="260">
        <v>27.507952999999997</v>
      </c>
      <c r="AE142" s="260">
        <v>27.519762999999998</v>
      </c>
      <c r="AF142" s="260">
        <v>27.531502999999997</v>
      </c>
      <c r="AG142" s="260">
        <v>27.543174</v>
      </c>
      <c r="AH142" s="260">
        <v>27.554774999999999</v>
      </c>
      <c r="AI142" s="260">
        <v>27.566307999999999</v>
      </c>
      <c r="AJ142" s="260">
        <v>27.577772</v>
      </c>
      <c r="AK142" s="260">
        <v>27.589167999999997</v>
      </c>
      <c r="AL142" s="260">
        <v>27.600496</v>
      </c>
      <c r="AM142" s="260">
        <v>27.611756</v>
      </c>
      <c r="AN142" s="260">
        <v>27.622948999999998</v>
      </c>
      <c r="AO142" s="260">
        <v>27.634073999999998</v>
      </c>
      <c r="AP142" s="260">
        <v>27.645132</v>
      </c>
      <c r="AQ142" s="260">
        <v>27.656123999999998</v>
      </c>
      <c r="AR142" s="260">
        <v>27.667048999999999</v>
      </c>
      <c r="AS142" s="260">
        <v>27.677906999999998</v>
      </c>
      <c r="AT142" s="260">
        <v>27.688699999999997</v>
      </c>
      <c r="AU142" s="260">
        <v>27.699427</v>
      </c>
      <c r="AV142" s="260">
        <v>27.710089</v>
      </c>
      <c r="AW142" s="260">
        <v>27.720685</v>
      </c>
      <c r="AX142" s="260">
        <v>27.731216999999997</v>
      </c>
      <c r="AY142" s="260">
        <v>27.741682999999998</v>
      </c>
      <c r="AZ142" s="260">
        <v>27.752085999999998</v>
      </c>
      <c r="BA142" s="260">
        <v>27.762425</v>
      </c>
      <c r="BB142" s="260">
        <v>27.772698999999999</v>
      </c>
      <c r="BC142" s="260">
        <v>27.782909999999998</v>
      </c>
      <c r="BD142" s="260">
        <v>27.793057999999998</v>
      </c>
      <c r="BE142" s="260">
        <v>27.803142999999999</v>
      </c>
      <c r="BF142" s="260">
        <v>27.813165999999999</v>
      </c>
      <c r="BG142" s="260">
        <v>27.823124999999997</v>
      </c>
      <c r="BH142" s="260">
        <v>27.833022999999997</v>
      </c>
      <c r="BI142" s="260">
        <v>27.842858999999997</v>
      </c>
      <c r="BJ142" s="260">
        <v>27.852632999999997</v>
      </c>
      <c r="BK142" s="260">
        <v>27.862345999999999</v>
      </c>
      <c r="BL142" s="260">
        <v>27.871997999999998</v>
      </c>
      <c r="BM142" s="260">
        <v>27.881589999999999</v>
      </c>
      <c r="BN142" s="260">
        <v>27.891119999999997</v>
      </c>
      <c r="BO142" s="260">
        <v>27.900590999999999</v>
      </c>
      <c r="BP142" s="260">
        <v>27.910001999999999</v>
      </c>
      <c r="BQ142" s="260">
        <v>27.919352999999997</v>
      </c>
      <c r="BR142" s="260">
        <v>27.928644999999999</v>
      </c>
      <c r="BS142" s="260">
        <v>27.937877999999998</v>
      </c>
      <c r="BT142" s="260">
        <v>27.947051999999999</v>
      </c>
      <c r="BU142" s="260">
        <v>27.956167999999998</v>
      </c>
      <c r="BV142" s="260">
        <v>27.965225</v>
      </c>
      <c r="BW142" s="260">
        <v>27.974224999999997</v>
      </c>
      <c r="BX142" s="260">
        <v>27.983166999999998</v>
      </c>
      <c r="BY142" s="260">
        <v>27.992051</v>
      </c>
      <c r="BZ142" s="260">
        <v>28.000878999999998</v>
      </c>
      <c r="CA142" s="260">
        <v>28.009649999999997</v>
      </c>
      <c r="CB142" s="260">
        <v>28.018363999999998</v>
      </c>
      <c r="CC142" s="260">
        <v>28.027023</v>
      </c>
      <c r="CD142" s="260">
        <v>28.035625</v>
      </c>
      <c r="CE142" s="260">
        <v>28.044172</v>
      </c>
      <c r="CF142" s="260">
        <v>28.052664</v>
      </c>
      <c r="CG142" s="260">
        <v>28.0611</v>
      </c>
      <c r="CH142" s="260">
        <v>28.069481999999997</v>
      </c>
    </row>
    <row r="143" spans="1:86" x14ac:dyDescent="0.25">
      <c r="A143" s="170">
        <v>2</v>
      </c>
      <c r="B143" s="170">
        <v>32</v>
      </c>
      <c r="C143" s="259">
        <v>27.266368865966797</v>
      </c>
      <c r="D143" s="259">
        <v>27.286958694458008</v>
      </c>
      <c r="E143" s="259">
        <v>27.307231903076172</v>
      </c>
      <c r="F143" s="259">
        <v>27.327188491821289</v>
      </c>
      <c r="G143" s="259">
        <v>27.346839904785156</v>
      </c>
      <c r="H143" s="259">
        <v>27.366184234619141</v>
      </c>
      <c r="I143" s="260">
        <v>27.070681</v>
      </c>
      <c r="J143" s="260">
        <v>27.084405999999998</v>
      </c>
      <c r="K143" s="260">
        <v>27.098051999999999</v>
      </c>
      <c r="L143" s="260">
        <v>27.111619999999998</v>
      </c>
      <c r="M143" s="260">
        <v>27.125109999999999</v>
      </c>
      <c r="N143" s="260">
        <v>27.138524999999998</v>
      </c>
      <c r="O143" s="260">
        <v>27.151862999999999</v>
      </c>
      <c r="P143" s="260">
        <v>27.165125999999997</v>
      </c>
      <c r="Q143" s="260">
        <v>27.178314</v>
      </c>
      <c r="R143" s="260">
        <v>27.191427999999998</v>
      </c>
      <c r="S143" s="260">
        <v>27.204466999999998</v>
      </c>
      <c r="T143" s="260">
        <v>27.217431999999999</v>
      </c>
      <c r="U143" s="260">
        <v>27.230322999999999</v>
      </c>
      <c r="V143" s="260">
        <v>27.24314</v>
      </c>
      <c r="W143" s="260">
        <v>27.255883999999998</v>
      </c>
      <c r="X143" s="260">
        <v>27.268554999999999</v>
      </c>
      <c r="Y143" s="260">
        <v>27.281153</v>
      </c>
      <c r="Z143" s="260">
        <v>27.293678999999997</v>
      </c>
      <c r="AA143" s="260">
        <v>27.306131999999998</v>
      </c>
      <c r="AB143" s="260">
        <v>27.318512999999999</v>
      </c>
      <c r="AC143" s="260">
        <v>27.330821</v>
      </c>
      <c r="AD143" s="260">
        <v>27.343057999999999</v>
      </c>
      <c r="AE143" s="260">
        <v>27.355224</v>
      </c>
      <c r="AF143" s="260">
        <v>27.367318999999998</v>
      </c>
      <c r="AG143" s="260">
        <v>27.379341999999998</v>
      </c>
      <c r="AH143" s="260">
        <v>27.391295</v>
      </c>
      <c r="AI143" s="260">
        <v>27.403176999999999</v>
      </c>
      <c r="AJ143" s="260">
        <v>27.414988999999998</v>
      </c>
      <c r="AK143" s="260">
        <v>27.426731</v>
      </c>
      <c r="AL143" s="260">
        <v>27.438402999999997</v>
      </c>
      <c r="AM143" s="260">
        <v>27.450005999999998</v>
      </c>
      <c r="AN143" s="260">
        <v>27.461539999999999</v>
      </c>
      <c r="AO143" s="260">
        <v>27.473004999999997</v>
      </c>
      <c r="AP143" s="260">
        <v>27.484400999999998</v>
      </c>
      <c r="AQ143" s="260">
        <v>27.495728999999997</v>
      </c>
      <c r="AR143" s="260">
        <v>27.506988</v>
      </c>
      <c r="AS143" s="260">
        <v>27.518179999999997</v>
      </c>
      <c r="AT143" s="260">
        <v>27.529304</v>
      </c>
      <c r="AU143" s="260">
        <v>27.540360999999997</v>
      </c>
      <c r="AV143" s="260">
        <v>27.551349999999999</v>
      </c>
      <c r="AW143" s="260">
        <v>27.562272999999998</v>
      </c>
      <c r="AX143" s="260">
        <v>27.573128999999998</v>
      </c>
      <c r="AY143" s="260">
        <v>27.583918999999998</v>
      </c>
      <c r="AZ143" s="260">
        <v>27.594642999999998</v>
      </c>
      <c r="BA143" s="260">
        <v>27.605301999999998</v>
      </c>
      <c r="BB143" s="260">
        <v>27.615894999999998</v>
      </c>
      <c r="BC143" s="260">
        <v>27.626421999999998</v>
      </c>
      <c r="BD143" s="260">
        <v>27.636884999999999</v>
      </c>
      <c r="BE143" s="260">
        <v>27.647283999999999</v>
      </c>
      <c r="BF143" s="260">
        <v>27.657617999999999</v>
      </c>
      <c r="BG143" s="260">
        <v>27.667887999999998</v>
      </c>
      <c r="BH143" s="260">
        <v>27.678093999999998</v>
      </c>
      <c r="BI143" s="260">
        <v>27.688236</v>
      </c>
      <c r="BJ143" s="260">
        <v>27.698315999999998</v>
      </c>
      <c r="BK143" s="260">
        <v>27.708333</v>
      </c>
      <c r="BL143" s="260">
        <v>27.718287</v>
      </c>
      <c r="BM143" s="260">
        <v>27.728178</v>
      </c>
      <c r="BN143" s="260">
        <v>27.738007999999997</v>
      </c>
      <c r="BO143" s="260">
        <v>27.747775999999998</v>
      </c>
      <c r="BP143" s="260">
        <v>27.757482</v>
      </c>
      <c r="BQ143" s="260">
        <v>27.767126999999999</v>
      </c>
      <c r="BR143" s="260">
        <v>27.776712</v>
      </c>
      <c r="BS143" s="260">
        <v>27.786234999999998</v>
      </c>
      <c r="BT143" s="260">
        <v>27.795698999999999</v>
      </c>
      <c r="BU143" s="260">
        <v>27.805101999999998</v>
      </c>
      <c r="BV143" s="260">
        <v>27.814446</v>
      </c>
      <c r="BW143" s="260">
        <v>27.823729999999998</v>
      </c>
      <c r="BX143" s="260">
        <v>27.832954999999998</v>
      </c>
      <c r="BY143" s="260">
        <v>27.842120999999999</v>
      </c>
      <c r="BZ143" s="260">
        <v>27.851227999999999</v>
      </c>
      <c r="CA143" s="260">
        <v>27.860277999999997</v>
      </c>
      <c r="CB143" s="260">
        <v>27.869268999999999</v>
      </c>
      <c r="CC143" s="260">
        <v>27.878201999999998</v>
      </c>
      <c r="CD143" s="260">
        <v>27.887079</v>
      </c>
      <c r="CE143" s="260">
        <v>27.895897999999999</v>
      </c>
      <c r="CF143" s="260">
        <v>27.90466</v>
      </c>
      <c r="CG143" s="260">
        <v>27.913364999999999</v>
      </c>
      <c r="CH143" s="260">
        <v>27.922014999999998</v>
      </c>
    </row>
    <row r="144" spans="1:86" x14ac:dyDescent="0.25">
      <c r="A144" s="170">
        <v>2</v>
      </c>
      <c r="B144" s="170">
        <v>33</v>
      </c>
      <c r="C144" s="259">
        <v>27.081985473632813</v>
      </c>
      <c r="D144" s="259">
        <v>27.103370666503906</v>
      </c>
      <c r="E144" s="259">
        <v>27.124425888061523</v>
      </c>
      <c r="F144" s="259">
        <v>27.145156860351563</v>
      </c>
      <c r="G144" s="259">
        <v>27.165569305419922</v>
      </c>
      <c r="H144" s="259">
        <v>27.1856689453125</v>
      </c>
      <c r="I144" s="260">
        <v>26.892689999999998</v>
      </c>
      <c r="J144" s="260">
        <v>26.906817999999998</v>
      </c>
      <c r="K144" s="260">
        <v>26.920862999999997</v>
      </c>
      <c r="L144" s="260">
        <v>26.934828</v>
      </c>
      <c r="M144" s="260">
        <v>26.948712999999998</v>
      </c>
      <c r="N144" s="260">
        <v>26.962519999999998</v>
      </c>
      <c r="O144" s="260">
        <v>26.976248999999999</v>
      </c>
      <c r="P144" s="260">
        <v>26.989901999999997</v>
      </c>
      <c r="Q144" s="260">
        <v>27.003477</v>
      </c>
      <c r="R144" s="260">
        <v>27.016976999999997</v>
      </c>
      <c r="S144" s="260">
        <v>27.0304</v>
      </c>
      <c r="T144" s="260">
        <v>27.043747999999997</v>
      </c>
      <c r="U144" s="260">
        <v>27.057019999999998</v>
      </c>
      <c r="V144" s="260">
        <v>27.070217</v>
      </c>
      <c r="W144" s="260">
        <v>27.083338999999999</v>
      </c>
      <c r="X144" s="260">
        <v>27.096385999999999</v>
      </c>
      <c r="Y144" s="260">
        <v>27.109358999999998</v>
      </c>
      <c r="Z144" s="260">
        <v>27.122256999999998</v>
      </c>
      <c r="AA144" s="260">
        <v>27.135081999999997</v>
      </c>
      <c r="AB144" s="260">
        <v>27.147831999999998</v>
      </c>
      <c r="AC144" s="260">
        <v>27.160508999999998</v>
      </c>
      <c r="AD144" s="260">
        <v>27.173112</v>
      </c>
      <c r="AE144" s="260">
        <v>27.185641999999998</v>
      </c>
      <c r="AF144" s="260">
        <v>27.1981</v>
      </c>
      <c r="AG144" s="260">
        <v>27.210484999999998</v>
      </c>
      <c r="AH144" s="260">
        <v>27.222797</v>
      </c>
      <c r="AI144" s="260">
        <v>27.235036999999998</v>
      </c>
      <c r="AJ144" s="260">
        <v>27.247205999999998</v>
      </c>
      <c r="AK144" s="260">
        <v>27.259301999999998</v>
      </c>
      <c r="AL144" s="260">
        <v>27.271328</v>
      </c>
      <c r="AM144" s="260">
        <v>27.283282</v>
      </c>
      <c r="AN144" s="260">
        <v>27.295165999999998</v>
      </c>
      <c r="AO144" s="260">
        <v>27.306977999999997</v>
      </c>
      <c r="AP144" s="260">
        <v>27.318721</v>
      </c>
      <c r="AQ144" s="260">
        <v>27.330392999999997</v>
      </c>
      <c r="AR144" s="260">
        <v>27.341995999999998</v>
      </c>
      <c r="AS144" s="260">
        <v>27.353528999999998</v>
      </c>
      <c r="AT144" s="260">
        <v>27.364992999999998</v>
      </c>
      <c r="AU144" s="260">
        <v>27.376386999999998</v>
      </c>
      <c r="AV144" s="260">
        <v>27.387712999999998</v>
      </c>
      <c r="AW144" s="260">
        <v>27.398971</v>
      </c>
      <c r="AX144" s="260">
        <v>27.410159999999998</v>
      </c>
      <c r="AY144" s="260">
        <v>27.421281999999998</v>
      </c>
      <c r="AZ144" s="260">
        <v>27.432335999999999</v>
      </c>
      <c r="BA144" s="260">
        <v>27.443321999999998</v>
      </c>
      <c r="BB144" s="260">
        <v>27.454241</v>
      </c>
      <c r="BC144" s="260">
        <v>27.465093999999997</v>
      </c>
      <c r="BD144" s="260">
        <v>27.47588</v>
      </c>
      <c r="BE144" s="260">
        <v>27.486599999999999</v>
      </c>
      <c r="BF144" s="260">
        <v>27.497252999999997</v>
      </c>
      <c r="BG144" s="260">
        <v>27.507842</v>
      </c>
      <c r="BH144" s="260">
        <v>27.518363999999998</v>
      </c>
      <c r="BI144" s="260">
        <v>27.528821999999998</v>
      </c>
      <c r="BJ144" s="260">
        <v>27.539214999999999</v>
      </c>
      <c r="BK144" s="260">
        <v>27.549543</v>
      </c>
      <c r="BL144" s="260">
        <v>27.559806999999999</v>
      </c>
      <c r="BM144" s="260">
        <v>27.570007</v>
      </c>
      <c r="BN144" s="260">
        <v>27.580143</v>
      </c>
      <c r="BO144" s="260">
        <v>27.590215999999998</v>
      </c>
      <c r="BP144" s="260">
        <v>27.600225999999999</v>
      </c>
      <c r="BQ144" s="260">
        <v>27.610173</v>
      </c>
      <c r="BR144" s="260">
        <v>27.620058</v>
      </c>
      <c r="BS144" s="260">
        <v>27.62988</v>
      </c>
      <c r="BT144" s="260">
        <v>27.639640999999997</v>
      </c>
      <c r="BU144" s="260">
        <v>27.649338999999998</v>
      </c>
      <c r="BV144" s="260">
        <v>27.658977</v>
      </c>
      <c r="BW144" s="260">
        <v>27.668552999999999</v>
      </c>
      <c r="BX144" s="260">
        <v>27.678068999999997</v>
      </c>
      <c r="BY144" s="260">
        <v>27.687524</v>
      </c>
      <c r="BZ144" s="260">
        <v>27.696918999999998</v>
      </c>
      <c r="CA144" s="260">
        <v>27.706253999999998</v>
      </c>
      <c r="CB144" s="260">
        <v>27.715529999999998</v>
      </c>
      <c r="CC144" s="260">
        <v>27.724746</v>
      </c>
      <c r="CD144" s="260">
        <v>27.733902999999998</v>
      </c>
      <c r="CE144" s="260">
        <v>27.743001999999997</v>
      </c>
      <c r="CF144" s="260">
        <v>27.752041999999999</v>
      </c>
      <c r="CG144" s="260">
        <v>27.761023999999999</v>
      </c>
      <c r="CH144" s="260">
        <v>27.769947999999999</v>
      </c>
    </row>
    <row r="145" spans="1:86" x14ac:dyDescent="0.25">
      <c r="A145" s="170">
        <v>2</v>
      </c>
      <c r="B145" s="170">
        <v>34</v>
      </c>
      <c r="C145" s="259">
        <v>26.891384124755859</v>
      </c>
      <c r="D145" s="259">
        <v>26.913589477539063</v>
      </c>
      <c r="E145" s="259">
        <v>26.935453414916992</v>
      </c>
      <c r="F145" s="259">
        <v>26.95698356628418</v>
      </c>
      <c r="G145" s="259">
        <v>26.978183746337891</v>
      </c>
      <c r="H145" s="259">
        <v>26.999061584472656</v>
      </c>
      <c r="I145" s="260">
        <v>26.709325999999997</v>
      </c>
      <c r="J145" s="260">
        <v>26.723866999999998</v>
      </c>
      <c r="K145" s="260">
        <v>26.738322</v>
      </c>
      <c r="L145" s="260">
        <v>26.752693999999998</v>
      </c>
      <c r="M145" s="260">
        <v>26.766983</v>
      </c>
      <c r="N145" s="260">
        <v>26.781191999999997</v>
      </c>
      <c r="O145" s="260">
        <v>26.795321999999999</v>
      </c>
      <c r="P145" s="260">
        <v>26.809372</v>
      </c>
      <c r="Q145" s="260">
        <v>26.823343999999999</v>
      </c>
      <c r="R145" s="260">
        <v>26.837237999999999</v>
      </c>
      <c r="S145" s="260">
        <v>26.851054999999999</v>
      </c>
      <c r="T145" s="260">
        <v>26.864794</v>
      </c>
      <c r="U145" s="260">
        <v>26.878456</v>
      </c>
      <c r="V145" s="260">
        <v>26.892042</v>
      </c>
      <c r="W145" s="260">
        <v>26.905549999999998</v>
      </c>
      <c r="X145" s="260">
        <v>26.918982</v>
      </c>
      <c r="Y145" s="260">
        <v>26.932337999999998</v>
      </c>
      <c r="Z145" s="260">
        <v>26.945618</v>
      </c>
      <c r="AA145" s="260">
        <v>26.958821999999998</v>
      </c>
      <c r="AB145" s="260">
        <v>26.971950999999997</v>
      </c>
      <c r="AC145" s="260">
        <v>26.985004</v>
      </c>
      <c r="AD145" s="260">
        <v>26.997982999999998</v>
      </c>
      <c r="AE145" s="260">
        <v>27.010885999999999</v>
      </c>
      <c r="AF145" s="260">
        <v>27.023714999999999</v>
      </c>
      <c r="AG145" s="260">
        <v>27.036469999999998</v>
      </c>
      <c r="AH145" s="260">
        <v>27.049150999999998</v>
      </c>
      <c r="AI145" s="260">
        <v>27.061757999999998</v>
      </c>
      <c r="AJ145" s="260">
        <v>27.074290999999999</v>
      </c>
      <c r="AK145" s="260">
        <v>27.086751</v>
      </c>
      <c r="AL145" s="260">
        <v>27.099138</v>
      </c>
      <c r="AM145" s="260">
        <v>27.111452</v>
      </c>
      <c r="AN145" s="260">
        <v>27.123694</v>
      </c>
      <c r="AO145" s="260">
        <v>27.135863000000001</v>
      </c>
      <c r="AP145" s="260">
        <v>27.147959999999998</v>
      </c>
      <c r="AQ145" s="260">
        <v>27.159986</v>
      </c>
      <c r="AR145" s="260">
        <v>27.171939999999999</v>
      </c>
      <c r="AS145" s="260">
        <v>27.183823</v>
      </c>
      <c r="AT145" s="260">
        <v>27.195634999999999</v>
      </c>
      <c r="AU145" s="260">
        <v>27.207376</v>
      </c>
      <c r="AV145" s="260">
        <v>27.219047</v>
      </c>
      <c r="AW145" s="260">
        <v>27.230646999999998</v>
      </c>
      <c r="AX145" s="260">
        <v>27.242177999999999</v>
      </c>
      <c r="AY145" s="260">
        <v>27.253639</v>
      </c>
      <c r="AZ145" s="260">
        <v>27.265031</v>
      </c>
      <c r="BA145" s="260">
        <v>27.276353999999998</v>
      </c>
      <c r="BB145" s="260">
        <v>27.287607999999999</v>
      </c>
      <c r="BC145" s="260">
        <v>27.298793</v>
      </c>
      <c r="BD145" s="260">
        <v>27.309911</v>
      </c>
      <c r="BE145" s="260">
        <v>27.320959999999999</v>
      </c>
      <c r="BF145" s="260">
        <v>27.331941999999998</v>
      </c>
      <c r="BG145" s="260">
        <v>27.342855999999998</v>
      </c>
      <c r="BH145" s="260">
        <v>27.353704</v>
      </c>
      <c r="BI145" s="260">
        <v>27.364483999999997</v>
      </c>
      <c r="BJ145" s="260">
        <v>27.375198999999999</v>
      </c>
      <c r="BK145" s="260">
        <v>27.385846999999998</v>
      </c>
      <c r="BL145" s="260">
        <v>27.396428999999998</v>
      </c>
      <c r="BM145" s="260">
        <v>27.406945</v>
      </c>
      <c r="BN145" s="260">
        <v>27.417396</v>
      </c>
      <c r="BO145" s="260">
        <v>27.427781999999997</v>
      </c>
      <c r="BP145" s="260">
        <v>27.438102999999998</v>
      </c>
      <c r="BQ145" s="260">
        <v>27.448359999999997</v>
      </c>
      <c r="BR145" s="260">
        <v>27.458552999999998</v>
      </c>
      <c r="BS145" s="260">
        <v>27.468681999999998</v>
      </c>
      <c r="BT145" s="260">
        <v>27.478746999999998</v>
      </c>
      <c r="BU145" s="260">
        <v>27.488748999999999</v>
      </c>
      <c r="BV145" s="260">
        <v>27.498687999999998</v>
      </c>
      <c r="BW145" s="260">
        <v>27.508564</v>
      </c>
      <c r="BX145" s="260">
        <v>27.518377999999998</v>
      </c>
      <c r="BY145" s="260">
        <v>27.528129999999997</v>
      </c>
      <c r="BZ145" s="260">
        <v>27.53782</v>
      </c>
      <c r="CA145" s="260">
        <v>27.547449</v>
      </c>
      <c r="CB145" s="260">
        <v>27.557016999999998</v>
      </c>
      <c r="CC145" s="260">
        <v>27.566523</v>
      </c>
      <c r="CD145" s="260">
        <v>27.575968999999997</v>
      </c>
      <c r="CE145" s="260">
        <v>27.585355</v>
      </c>
      <c r="CF145" s="260">
        <v>27.594680999999998</v>
      </c>
      <c r="CG145" s="260">
        <v>27.603946999999998</v>
      </c>
      <c r="CH145" s="260">
        <v>27.613153000000001</v>
      </c>
    </row>
    <row r="146" spans="1:86" x14ac:dyDescent="0.25">
      <c r="A146" s="170">
        <v>2</v>
      </c>
      <c r="B146" s="170">
        <v>35</v>
      </c>
      <c r="C146" s="259">
        <v>26.69434928894043</v>
      </c>
      <c r="D146" s="259">
        <v>26.717399597167969</v>
      </c>
      <c r="E146" s="259">
        <v>26.74009895324707</v>
      </c>
      <c r="F146" s="259">
        <v>26.762451171875</v>
      </c>
      <c r="G146" s="259">
        <v>26.784465789794922</v>
      </c>
      <c r="H146" s="259">
        <v>26.806146621704102</v>
      </c>
      <c r="I146" s="260">
        <v>26.520298</v>
      </c>
      <c r="J146" s="260">
        <v>26.535266</v>
      </c>
      <c r="K146" s="260">
        <v>26.550144</v>
      </c>
      <c r="L146" s="260">
        <v>26.564933999999997</v>
      </c>
      <c r="M146" s="260">
        <v>26.579639</v>
      </c>
      <c r="N146" s="260">
        <v>26.594260999999999</v>
      </c>
      <c r="O146" s="260">
        <v>26.608801</v>
      </c>
      <c r="P146" s="260">
        <v>26.623259999999998</v>
      </c>
      <c r="Q146" s="260">
        <v>26.637639</v>
      </c>
      <c r="R146" s="260">
        <v>26.651937999999998</v>
      </c>
      <c r="S146" s="260">
        <v>26.666157999999999</v>
      </c>
      <c r="T146" s="260">
        <v>26.680298999999998</v>
      </c>
      <c r="U146" s="260">
        <v>26.69436</v>
      </c>
      <c r="V146" s="260">
        <v>26.708344</v>
      </c>
      <c r="W146" s="260">
        <v>26.722248999999998</v>
      </c>
      <c r="X146" s="260">
        <v>26.736075999999997</v>
      </c>
      <c r="Y146" s="260">
        <v>26.749824999999998</v>
      </c>
      <c r="Z146" s="260">
        <v>26.763496</v>
      </c>
      <c r="AA146" s="260">
        <v>26.777089999999998</v>
      </c>
      <c r="AB146" s="260">
        <v>26.790606999999998</v>
      </c>
      <c r="AC146" s="260">
        <v>26.804046999999997</v>
      </c>
      <c r="AD146" s="260">
        <v>26.817409999999999</v>
      </c>
      <c r="AE146" s="260">
        <v>26.830696999999997</v>
      </c>
      <c r="AF146" s="260">
        <v>26.843906999999998</v>
      </c>
      <c r="AG146" s="260">
        <v>26.857042</v>
      </c>
      <c r="AH146" s="260">
        <v>26.870099999999997</v>
      </c>
      <c r="AI146" s="260">
        <v>26.883082999999999</v>
      </c>
      <c r="AJ146" s="260">
        <v>26.895990999999999</v>
      </c>
      <c r="AK146" s="260">
        <v>26.908823999999999</v>
      </c>
      <c r="AL146" s="260">
        <v>26.921581999999997</v>
      </c>
      <c r="AM146" s="260">
        <v>26.934265999999997</v>
      </c>
      <c r="AN146" s="260">
        <v>26.946874999999999</v>
      </c>
      <c r="AO146" s="260">
        <v>26.959410999999999</v>
      </c>
      <c r="AP146" s="260">
        <v>26.971872999999999</v>
      </c>
      <c r="AQ146" s="260">
        <v>26.984261</v>
      </c>
      <c r="AR146" s="260">
        <v>26.996575999999997</v>
      </c>
      <c r="AS146" s="260">
        <v>27.008817999999998</v>
      </c>
      <c r="AT146" s="260">
        <v>27.020986999999998</v>
      </c>
      <c r="AU146" s="260">
        <v>27.033083999999999</v>
      </c>
      <c r="AV146" s="260">
        <v>27.045109</v>
      </c>
      <c r="AW146" s="260">
        <v>27.057061999999998</v>
      </c>
      <c r="AX146" s="260">
        <v>27.068943999999998</v>
      </c>
      <c r="AY146" s="260">
        <v>27.080753999999999</v>
      </c>
      <c r="AZ146" s="260">
        <v>27.092492999999997</v>
      </c>
      <c r="BA146" s="260">
        <v>27.104161999999999</v>
      </c>
      <c r="BB146" s="260">
        <v>27.115759999999998</v>
      </c>
      <c r="BC146" s="260">
        <v>27.127286999999999</v>
      </c>
      <c r="BD146" s="260">
        <v>27.138745</v>
      </c>
      <c r="BE146" s="260">
        <v>27.150133</v>
      </c>
      <c r="BF146" s="260">
        <v>27.161451999999997</v>
      </c>
      <c r="BG146" s="260">
        <v>27.172701999999997</v>
      </c>
      <c r="BH146" s="260">
        <v>27.183882999999998</v>
      </c>
      <c r="BI146" s="260">
        <v>27.194996</v>
      </c>
      <c r="BJ146" s="260">
        <v>27.206039999999998</v>
      </c>
      <c r="BK146" s="260">
        <v>27.217016999999998</v>
      </c>
      <c r="BL146" s="260">
        <v>27.227926</v>
      </c>
      <c r="BM146" s="260">
        <v>27.238768</v>
      </c>
      <c r="BN146" s="260">
        <v>27.249541999999998</v>
      </c>
      <c r="BO146" s="260">
        <v>27.260249999999999</v>
      </c>
      <c r="BP146" s="260">
        <v>27.270892</v>
      </c>
      <c r="BQ146" s="260">
        <v>27.281466999999999</v>
      </c>
      <c r="BR146" s="260">
        <v>27.291976999999999</v>
      </c>
      <c r="BS146" s="260">
        <v>27.302420999999999</v>
      </c>
      <c r="BT146" s="260">
        <v>27.312799999999999</v>
      </c>
      <c r="BU146" s="260">
        <v>27.323112999999999</v>
      </c>
      <c r="BV146" s="260">
        <v>27.333362999999999</v>
      </c>
      <c r="BW146" s="260">
        <v>27.343547999999998</v>
      </c>
      <c r="BX146" s="260">
        <v>27.353669</v>
      </c>
      <c r="BY146" s="260">
        <v>27.363726</v>
      </c>
      <c r="BZ146" s="260">
        <v>27.373718999999998</v>
      </c>
      <c r="CA146" s="260">
        <v>27.383649999999999</v>
      </c>
      <c r="CB146" s="260">
        <v>27.393518</v>
      </c>
      <c r="CC146" s="260">
        <v>27.403323</v>
      </c>
      <c r="CD146" s="260">
        <v>27.413065999999997</v>
      </c>
      <c r="CE146" s="260">
        <v>27.422746999999998</v>
      </c>
      <c r="CF146" s="260">
        <v>27.432366999999999</v>
      </c>
      <c r="CG146" s="260">
        <v>27.441924999999998</v>
      </c>
      <c r="CH146" s="260">
        <v>27.451421999999997</v>
      </c>
    </row>
    <row r="147" spans="1:86" x14ac:dyDescent="0.25">
      <c r="A147" s="170">
        <v>2</v>
      </c>
      <c r="B147" s="170">
        <v>36</v>
      </c>
      <c r="C147" s="259">
        <v>26.490726470947266</v>
      </c>
      <c r="D147" s="259">
        <v>26.514650344848633</v>
      </c>
      <c r="E147" s="259">
        <v>26.538213729858398</v>
      </c>
      <c r="F147" s="259">
        <v>26.561420440673828</v>
      </c>
      <c r="G147" s="259">
        <v>26.584278106689453</v>
      </c>
      <c r="H147" s="259">
        <v>26.606790542602539</v>
      </c>
      <c r="I147" s="260">
        <v>26.325419999999998</v>
      </c>
      <c r="J147" s="260">
        <v>26.34083</v>
      </c>
      <c r="K147" s="260">
        <v>26.356142999999999</v>
      </c>
      <c r="L147" s="260">
        <v>26.371364999999997</v>
      </c>
      <c r="M147" s="260">
        <v>26.386498</v>
      </c>
      <c r="N147" s="260">
        <v>26.401544999999999</v>
      </c>
      <c r="O147" s="260">
        <v>26.416505999999998</v>
      </c>
      <c r="P147" s="260">
        <v>26.431384999999999</v>
      </c>
      <c r="Q147" s="260">
        <v>26.446180999999999</v>
      </c>
      <c r="R147" s="260">
        <v>26.460894999999997</v>
      </c>
      <c r="S147" s="260">
        <v>26.475527999999997</v>
      </c>
      <c r="T147" s="260">
        <v>26.490081</v>
      </c>
      <c r="U147" s="260">
        <v>26.504552999999998</v>
      </c>
      <c r="V147" s="260">
        <v>26.518944999999999</v>
      </c>
      <c r="W147" s="260">
        <v>26.533255999999998</v>
      </c>
      <c r="X147" s="260">
        <v>26.547487999999998</v>
      </c>
      <c r="Y147" s="260">
        <v>26.561640999999998</v>
      </c>
      <c r="Z147" s="260">
        <v>26.575713999999998</v>
      </c>
      <c r="AA147" s="260">
        <v>26.589707999999998</v>
      </c>
      <c r="AB147" s="260">
        <v>26.603622999999999</v>
      </c>
      <c r="AC147" s="260">
        <v>26.617459999999998</v>
      </c>
      <c r="AD147" s="260">
        <v>26.631218000000001</v>
      </c>
      <c r="AE147" s="260">
        <v>26.644897</v>
      </c>
      <c r="AF147" s="260">
        <v>26.658498999999999</v>
      </c>
      <c r="AG147" s="260">
        <v>26.672022999999999</v>
      </c>
      <c r="AH147" s="260">
        <v>26.685469999999999</v>
      </c>
      <c r="AI147" s="260">
        <v>26.698839999999997</v>
      </c>
      <c r="AJ147" s="260">
        <v>26.712132</v>
      </c>
      <c r="AK147" s="260">
        <v>26.725348</v>
      </c>
      <c r="AL147" s="260">
        <v>26.738486999999999</v>
      </c>
      <c r="AM147" s="260">
        <v>26.751549999999998</v>
      </c>
      <c r="AN147" s="260">
        <v>26.764536999999997</v>
      </c>
      <c r="AO147" s="260">
        <v>26.777448999999997</v>
      </c>
      <c r="AP147" s="260">
        <v>26.790284999999997</v>
      </c>
      <c r="AQ147" s="260">
        <v>26.803044999999997</v>
      </c>
      <c r="AR147" s="260">
        <v>26.815731</v>
      </c>
      <c r="AS147" s="260">
        <v>26.828341999999999</v>
      </c>
      <c r="AT147" s="260">
        <v>26.840878999999997</v>
      </c>
      <c r="AU147" s="260">
        <v>26.853341999999998</v>
      </c>
      <c r="AV147" s="260">
        <v>26.865729999999999</v>
      </c>
      <c r="AW147" s="260">
        <v>26.878045999999998</v>
      </c>
      <c r="AX147" s="260">
        <v>26.890286999999997</v>
      </c>
      <c r="AY147" s="260">
        <v>26.902455999999997</v>
      </c>
      <c r="AZ147" s="260">
        <v>26.914552</v>
      </c>
      <c r="BA147" s="260">
        <v>26.926575999999997</v>
      </c>
      <c r="BB147" s="260">
        <v>26.938527000000001</v>
      </c>
      <c r="BC147" s="260">
        <v>26.950406999999998</v>
      </c>
      <c r="BD147" s="260">
        <v>26.962215</v>
      </c>
      <c r="BE147" s="260">
        <v>26.973951</v>
      </c>
      <c r="BF147" s="260">
        <v>26.985616999999998</v>
      </c>
      <c r="BG147" s="260">
        <v>26.997211</v>
      </c>
      <c r="BH147" s="260">
        <v>27.008734999999998</v>
      </c>
      <c r="BI147" s="260">
        <v>27.020188999999998</v>
      </c>
      <c r="BJ147" s="260">
        <v>27.031572999999998</v>
      </c>
      <c r="BK147" s="260">
        <v>27.042887999999998</v>
      </c>
      <c r="BL147" s="260">
        <v>27.054133</v>
      </c>
      <c r="BM147" s="260">
        <v>27.065308999999999</v>
      </c>
      <c r="BN147" s="260">
        <v>27.076416999999999</v>
      </c>
      <c r="BO147" s="260">
        <v>27.087456</v>
      </c>
      <c r="BP147" s="260">
        <v>27.098426</v>
      </c>
      <c r="BQ147" s="260">
        <v>27.109328999999999</v>
      </c>
      <c r="BR147" s="260">
        <v>27.120165</v>
      </c>
      <c r="BS147" s="260">
        <v>27.130932999999999</v>
      </c>
      <c r="BT147" s="260">
        <v>27.141634999999997</v>
      </c>
      <c r="BU147" s="260">
        <v>27.152269</v>
      </c>
      <c r="BV147" s="260">
        <v>27.162837999999997</v>
      </c>
      <c r="BW147" s="260">
        <v>27.17334</v>
      </c>
      <c r="BX147" s="260">
        <v>27.183776999999999</v>
      </c>
      <c r="BY147" s="260">
        <v>27.194147999999998</v>
      </c>
      <c r="BZ147" s="260">
        <v>27.204453999999998</v>
      </c>
      <c r="CA147" s="260">
        <v>27.214694999999999</v>
      </c>
      <c r="CB147" s="260">
        <v>27.224871999999998</v>
      </c>
      <c r="CC147" s="260">
        <v>27.234984999999998</v>
      </c>
      <c r="CD147" s="260">
        <v>27.245034</v>
      </c>
      <c r="CE147" s="260">
        <v>27.255018999999997</v>
      </c>
      <c r="CF147" s="260">
        <v>27.264941</v>
      </c>
      <c r="CG147" s="260">
        <v>27.274799999999999</v>
      </c>
      <c r="CH147" s="260">
        <v>27.284596000000001</v>
      </c>
    </row>
    <row r="148" spans="1:86" x14ac:dyDescent="0.25">
      <c r="A148" s="170">
        <v>2</v>
      </c>
      <c r="B148" s="170">
        <v>37</v>
      </c>
      <c r="C148" s="259">
        <v>26.280332565307617</v>
      </c>
      <c r="D148" s="259">
        <v>26.305154800415039</v>
      </c>
      <c r="E148" s="259">
        <v>26.329605102539063</v>
      </c>
      <c r="F148" s="259">
        <v>26.353691101074219</v>
      </c>
      <c r="G148" s="259">
        <v>26.377416610717773</v>
      </c>
      <c r="H148" s="259">
        <v>26.400785446166992</v>
      </c>
      <c r="I148" s="260">
        <v>26.124613999999998</v>
      </c>
      <c r="J148" s="260">
        <v>26.140478999999999</v>
      </c>
      <c r="K148" s="260">
        <v>26.156241999999999</v>
      </c>
      <c r="L148" s="260">
        <v>26.171907999999998</v>
      </c>
      <c r="M148" s="260">
        <v>26.187480999999998</v>
      </c>
      <c r="N148" s="260">
        <v>26.202963</v>
      </c>
      <c r="O148" s="260">
        <v>26.218356999999997</v>
      </c>
      <c r="P148" s="260">
        <v>26.233664999999998</v>
      </c>
      <c r="Q148" s="260">
        <v>26.248887999999997</v>
      </c>
      <c r="R148" s="260">
        <v>26.264028</v>
      </c>
      <c r="S148" s="260">
        <v>26.279083999999997</v>
      </c>
      <c r="T148" s="260">
        <v>26.294058</v>
      </c>
      <c r="U148" s="260">
        <v>26.308949999999999</v>
      </c>
      <c r="V148" s="260">
        <v>26.32376</v>
      </c>
      <c r="W148" s="260">
        <v>26.338487999999998</v>
      </c>
      <c r="X148" s="260">
        <v>26.353134999999998</v>
      </c>
      <c r="Y148" s="260">
        <v>26.367699999999999</v>
      </c>
      <c r="Z148" s="260">
        <v>26.382185</v>
      </c>
      <c r="AA148" s="260">
        <v>26.396587999999998</v>
      </c>
      <c r="AB148" s="260">
        <v>26.410910999999999</v>
      </c>
      <c r="AC148" s="260">
        <v>26.425153999999999</v>
      </c>
      <c r="AD148" s="260">
        <v>26.439315999999998</v>
      </c>
      <c r="AE148" s="260">
        <v>26.453398999999997</v>
      </c>
      <c r="AF148" s="260">
        <v>26.467402</v>
      </c>
      <c r="AG148" s="260">
        <v>26.481324999999998</v>
      </c>
      <c r="AH148" s="260">
        <v>26.495168999999997</v>
      </c>
      <c r="AI148" s="260">
        <v>26.508934999999997</v>
      </c>
      <c r="AJ148" s="260">
        <v>26.522620999999997</v>
      </c>
      <c r="AK148" s="260">
        <v>26.536228999999999</v>
      </c>
      <c r="AL148" s="260">
        <v>26.549758999999998</v>
      </c>
      <c r="AM148" s="260">
        <v>26.563210999999999</v>
      </c>
      <c r="AN148" s="260">
        <v>26.576584999999998</v>
      </c>
      <c r="AO148" s="260">
        <v>26.589881999999999</v>
      </c>
      <c r="AP148" s="260">
        <v>26.603102</v>
      </c>
      <c r="AQ148" s="260">
        <v>26.616243999999998</v>
      </c>
      <c r="AR148" s="260">
        <v>26.62931</v>
      </c>
      <c r="AS148" s="260">
        <v>26.642299999999999</v>
      </c>
      <c r="AT148" s="260">
        <v>26.655213</v>
      </c>
      <c r="AU148" s="260">
        <v>26.668049999999997</v>
      </c>
      <c r="AV148" s="260">
        <v>26.680812</v>
      </c>
      <c r="AW148" s="260">
        <v>26.693498999999999</v>
      </c>
      <c r="AX148" s="260">
        <v>26.706109999999999</v>
      </c>
      <c r="AY148" s="260">
        <v>26.718646999999997</v>
      </c>
      <c r="AZ148" s="260">
        <v>26.731109</v>
      </c>
      <c r="BA148" s="260">
        <v>26.743496999999998</v>
      </c>
      <c r="BB148" s="260">
        <v>26.755810999999998</v>
      </c>
      <c r="BC148" s="260">
        <v>26.768051</v>
      </c>
      <c r="BD148" s="260">
        <v>26.780217999999998</v>
      </c>
      <c r="BE148" s="260">
        <v>26.792311999999999</v>
      </c>
      <c r="BF148" s="260">
        <v>26.804333</v>
      </c>
      <c r="BG148" s="260">
        <v>26.816281</v>
      </c>
      <c r="BH148" s="260">
        <v>26.828157999999998</v>
      </c>
      <c r="BI148" s="260">
        <v>26.839962</v>
      </c>
      <c r="BJ148" s="260">
        <v>26.851694999999999</v>
      </c>
      <c r="BK148" s="260">
        <v>26.863356</v>
      </c>
      <c r="BL148" s="260">
        <v>26.874945999999998</v>
      </c>
      <c r="BM148" s="260">
        <v>26.886465999999999</v>
      </c>
      <c r="BN148" s="260">
        <v>26.897914999999998</v>
      </c>
      <c r="BO148" s="260">
        <v>26.909292999999998</v>
      </c>
      <c r="BP148" s="260">
        <v>26.920601999999999</v>
      </c>
      <c r="BQ148" s="260">
        <v>26.931842</v>
      </c>
      <c r="BR148" s="260">
        <v>26.943012</v>
      </c>
      <c r="BS148" s="260">
        <v>26.954113</v>
      </c>
      <c r="BT148" s="260">
        <v>26.965145999999997</v>
      </c>
      <c r="BU148" s="260">
        <v>26.976109999999998</v>
      </c>
      <c r="BV148" s="260">
        <v>26.987005999999997</v>
      </c>
      <c r="BW148" s="260">
        <v>26.997833999999997</v>
      </c>
      <c r="BX148" s="260">
        <v>27.008595</v>
      </c>
      <c r="BY148" s="260">
        <v>27.019288999999997</v>
      </c>
      <c r="BZ148" s="260">
        <v>27.029916</v>
      </c>
      <c r="CA148" s="260">
        <v>27.040476999999999</v>
      </c>
      <c r="CB148" s="260">
        <v>27.050971000000001</v>
      </c>
      <c r="CC148" s="260">
        <v>27.061398999999998</v>
      </c>
      <c r="CD148" s="260">
        <v>27.071762</v>
      </c>
      <c r="CE148" s="260">
        <v>27.082059999999998</v>
      </c>
      <c r="CF148" s="260">
        <v>27.092292</v>
      </c>
      <c r="CG148" s="260">
        <v>27.102459999999997</v>
      </c>
      <c r="CH148" s="260">
        <v>27.112563999999999</v>
      </c>
    </row>
    <row r="149" spans="1:86" x14ac:dyDescent="0.25">
      <c r="A149" s="170">
        <v>2</v>
      </c>
      <c r="B149" s="170">
        <v>38</v>
      </c>
      <c r="C149" s="259">
        <v>26.063007354736328</v>
      </c>
      <c r="D149" s="259">
        <v>26.088754653930664</v>
      </c>
      <c r="E149" s="259">
        <v>26.114118576049805</v>
      </c>
      <c r="F149" s="259">
        <v>26.139104843139648</v>
      </c>
      <c r="G149" s="259">
        <v>26.163719177246094</v>
      </c>
      <c r="H149" s="259">
        <v>26.187969207763672</v>
      </c>
      <c r="I149" s="260">
        <v>25.917918999999998</v>
      </c>
      <c r="J149" s="260">
        <v>25.934252999999998</v>
      </c>
      <c r="K149" s="260">
        <v>25.950476999999999</v>
      </c>
      <c r="L149" s="260">
        <v>25.966597999999998</v>
      </c>
      <c r="M149" s="260">
        <v>25.982620999999998</v>
      </c>
      <c r="N149" s="260">
        <v>25.998548</v>
      </c>
      <c r="O149" s="260">
        <v>26.014384</v>
      </c>
      <c r="P149" s="260">
        <v>26.03013</v>
      </c>
      <c r="Q149" s="260">
        <v>26.045788999999999</v>
      </c>
      <c r="R149" s="260">
        <v>26.061361999999999</v>
      </c>
      <c r="S149" s="260">
        <v>26.07685</v>
      </c>
      <c r="T149" s="260">
        <v>26.092252999999999</v>
      </c>
      <c r="U149" s="260">
        <v>26.107572999999999</v>
      </c>
      <c r="V149" s="260">
        <v>26.122809</v>
      </c>
      <c r="W149" s="260">
        <v>26.137960999999997</v>
      </c>
      <c r="X149" s="260">
        <v>26.153030999999999</v>
      </c>
      <c r="Y149" s="260">
        <v>26.168016999999999</v>
      </c>
      <c r="Z149" s="260">
        <v>26.182921</v>
      </c>
      <c r="AA149" s="260">
        <v>26.197741999999998</v>
      </c>
      <c r="AB149" s="260">
        <v>26.212481</v>
      </c>
      <c r="AC149" s="260">
        <v>26.227138</v>
      </c>
      <c r="AD149" s="260">
        <v>26.241712999999997</v>
      </c>
      <c r="AE149" s="260">
        <v>26.256205999999999</v>
      </c>
      <c r="AF149" s="260">
        <v>26.270617999999999</v>
      </c>
      <c r="AG149" s="260">
        <v>26.284948999999997</v>
      </c>
      <c r="AH149" s="260">
        <v>26.299198999999998</v>
      </c>
      <c r="AI149" s="260">
        <v>26.313368000000001</v>
      </c>
      <c r="AJ149" s="260">
        <v>26.327455999999998</v>
      </c>
      <c r="AK149" s="260">
        <v>26.341464999999999</v>
      </c>
      <c r="AL149" s="260">
        <v>26.355392999999999</v>
      </c>
      <c r="AM149" s="260">
        <v>26.369242</v>
      </c>
      <c r="AN149" s="260">
        <v>26.383011999999997</v>
      </c>
      <c r="AO149" s="260">
        <v>26.396701999999998</v>
      </c>
      <c r="AP149" s="260">
        <v>26.410312999999999</v>
      </c>
      <c r="AQ149" s="260">
        <v>26.423845</v>
      </c>
      <c r="AR149" s="260">
        <v>26.437298999999999</v>
      </c>
      <c r="AS149" s="260">
        <v>26.450675</v>
      </c>
      <c r="AT149" s="260">
        <v>26.463972999999999</v>
      </c>
      <c r="AU149" s="260">
        <v>26.477193999999997</v>
      </c>
      <c r="AV149" s="260">
        <v>26.490337</v>
      </c>
      <c r="AW149" s="260">
        <v>26.503402999999999</v>
      </c>
      <c r="AX149" s="260">
        <v>26.516392</v>
      </c>
      <c r="AY149" s="260">
        <v>26.529304</v>
      </c>
      <c r="AZ149" s="260">
        <v>26.54214</v>
      </c>
      <c r="BA149" s="260">
        <v>26.5549</v>
      </c>
      <c r="BB149" s="260">
        <v>26.567584999999998</v>
      </c>
      <c r="BC149" s="260">
        <v>26.580193999999999</v>
      </c>
      <c r="BD149" s="260">
        <v>26.592727999999997</v>
      </c>
      <c r="BE149" s="260">
        <v>26.605186999999997</v>
      </c>
      <c r="BF149" s="260">
        <v>26.617570999999998</v>
      </c>
      <c r="BG149" s="260">
        <v>26.629881999999998</v>
      </c>
      <c r="BH149" s="260">
        <v>26.642118</v>
      </c>
      <c r="BI149" s="260">
        <v>26.65428</v>
      </c>
      <c r="BJ149" s="260">
        <v>26.666369</v>
      </c>
      <c r="BK149" s="260">
        <v>26.678384999999999</v>
      </c>
      <c r="BL149" s="260">
        <v>26.690328999999998</v>
      </c>
      <c r="BM149" s="260">
        <v>26.702199</v>
      </c>
      <c r="BN149" s="260">
        <v>26.713998</v>
      </c>
      <c r="BO149" s="260">
        <v>26.725724</v>
      </c>
      <c r="BP149" s="260">
        <v>26.737378999999997</v>
      </c>
      <c r="BQ149" s="260">
        <v>26.748961999999999</v>
      </c>
      <c r="BR149" s="260">
        <v>26.760475</v>
      </c>
      <c r="BS149" s="260">
        <v>26.771916999999998</v>
      </c>
      <c r="BT149" s="260">
        <v>26.783287999999999</v>
      </c>
      <c r="BU149" s="260">
        <v>26.794589999999999</v>
      </c>
      <c r="BV149" s="260">
        <v>26.805820999999998</v>
      </c>
      <c r="BW149" s="260">
        <v>26.816983</v>
      </c>
      <c r="BX149" s="260">
        <v>26.828075999999999</v>
      </c>
      <c r="BY149" s="260">
        <v>26.839099999999998</v>
      </c>
      <c r="BZ149" s="260">
        <v>26.850055999999999</v>
      </c>
      <c r="CA149" s="260">
        <v>26.860942999999999</v>
      </c>
      <c r="CB149" s="260">
        <v>26.871762</v>
      </c>
      <c r="CC149" s="260">
        <v>26.882514</v>
      </c>
      <c r="CD149" s="260">
        <v>26.893197999999998</v>
      </c>
      <c r="CE149" s="260">
        <v>26.903815999999999</v>
      </c>
      <c r="CF149" s="260">
        <v>26.914366999999999</v>
      </c>
      <c r="CG149" s="260">
        <v>26.924851</v>
      </c>
      <c r="CH149" s="260">
        <v>26.935269999999999</v>
      </c>
    </row>
    <row r="150" spans="1:86" x14ac:dyDescent="0.25">
      <c r="A150" s="170">
        <v>2</v>
      </c>
      <c r="B150" s="170">
        <v>39</v>
      </c>
      <c r="C150" s="259">
        <v>25.838611602783203</v>
      </c>
      <c r="D150" s="259">
        <v>25.865303039550781</v>
      </c>
      <c r="E150" s="259">
        <v>25.891599655151367</v>
      </c>
      <c r="F150" s="259">
        <v>25.917509078979492</v>
      </c>
      <c r="G150" s="259">
        <v>25.943037033081055</v>
      </c>
      <c r="H150" s="259">
        <v>25.968189239501953</v>
      </c>
      <c r="I150" s="260">
        <v>25.704968999999998</v>
      </c>
      <c r="J150" s="260">
        <v>25.721785999999998</v>
      </c>
      <c r="K150" s="260">
        <v>25.738486999999999</v>
      </c>
      <c r="L150" s="260">
        <v>25.755075999999999</v>
      </c>
      <c r="M150" s="260">
        <v>25.771560999999998</v>
      </c>
      <c r="N150" s="260">
        <v>25.787945000000001</v>
      </c>
      <c r="O150" s="260">
        <v>25.804233999999997</v>
      </c>
      <c r="P150" s="260">
        <v>25.820428999999997</v>
      </c>
      <c r="Q150" s="260">
        <v>25.836534</v>
      </c>
      <c r="R150" s="260">
        <v>25.852549999999997</v>
      </c>
      <c r="S150" s="260">
        <v>25.868478999999997</v>
      </c>
      <c r="T150" s="260">
        <v>25.884321999999997</v>
      </c>
      <c r="U150" s="260">
        <v>25.900078999999998</v>
      </c>
      <c r="V150" s="260">
        <v>25.915749999999999</v>
      </c>
      <c r="W150" s="260">
        <v>25.931336999999999</v>
      </c>
      <c r="X150" s="260">
        <v>25.946838999999997</v>
      </c>
      <c r="Y150" s="260">
        <v>25.962256</v>
      </c>
      <c r="Z150" s="260">
        <v>25.977588999999998</v>
      </c>
      <c r="AA150" s="260">
        <v>25.992836999999998</v>
      </c>
      <c r="AB150" s="260">
        <v>26.008001999999998</v>
      </c>
      <c r="AC150" s="260">
        <v>26.023081999999999</v>
      </c>
      <c r="AD150" s="260">
        <v>26.038079</v>
      </c>
      <c r="AE150" s="260">
        <v>26.052992999999997</v>
      </c>
      <c r="AF150" s="260">
        <v>26.067823999999998</v>
      </c>
      <c r="AG150" s="260">
        <v>26.082570999999998</v>
      </c>
      <c r="AH150" s="260">
        <v>26.097237</v>
      </c>
      <c r="AI150" s="260">
        <v>26.111819000000001</v>
      </c>
      <c r="AJ150" s="260">
        <v>26.12632</v>
      </c>
      <c r="AK150" s="260">
        <v>26.140737999999999</v>
      </c>
      <c r="AL150" s="260">
        <v>26.155075</v>
      </c>
      <c r="AM150" s="260">
        <v>26.169329999999999</v>
      </c>
      <c r="AN150" s="260">
        <v>26.183503999999999</v>
      </c>
      <c r="AO150" s="260">
        <v>26.197596999999998</v>
      </c>
      <c r="AP150" s="260">
        <v>26.21161</v>
      </c>
      <c r="AQ150" s="260">
        <v>26.225541999999997</v>
      </c>
      <c r="AR150" s="260">
        <v>26.239393</v>
      </c>
      <c r="AS150" s="260">
        <v>26.253164999999999</v>
      </c>
      <c r="AT150" s="260">
        <v>26.266856999999998</v>
      </c>
      <c r="AU150" s="260">
        <v>26.280469999999998</v>
      </c>
      <c r="AV150" s="260">
        <v>26.294003</v>
      </c>
      <c r="AW150" s="260">
        <v>26.307458</v>
      </c>
      <c r="AX150" s="260">
        <v>26.320833999999998</v>
      </c>
      <c r="AY150" s="260">
        <v>26.334132</v>
      </c>
      <c r="AZ150" s="260">
        <v>26.347351999999997</v>
      </c>
      <c r="BA150" s="260">
        <v>26.360492999999998</v>
      </c>
      <c r="BB150" s="260">
        <v>26.373557999999999</v>
      </c>
      <c r="BC150" s="260">
        <v>26.386544999999998</v>
      </c>
      <c r="BD150" s="260">
        <v>26.399455</v>
      </c>
      <c r="BE150" s="260">
        <v>26.412288999999998</v>
      </c>
      <c r="BF150" s="260">
        <v>26.425045999999998</v>
      </c>
      <c r="BG150" s="260">
        <v>26.437726999999999</v>
      </c>
      <c r="BH150" s="260">
        <v>26.450332</v>
      </c>
      <c r="BI150" s="260">
        <v>26.462861999999998</v>
      </c>
      <c r="BJ150" s="260">
        <v>26.475317</v>
      </c>
      <c r="BK150" s="260">
        <v>26.487696999999997</v>
      </c>
      <c r="BL150" s="260">
        <v>26.500001999999999</v>
      </c>
      <c r="BM150" s="260">
        <v>26.512232999999998</v>
      </c>
      <c r="BN150" s="260">
        <v>26.52439</v>
      </c>
      <c r="BO150" s="260">
        <v>26.536472999999997</v>
      </c>
      <c r="BP150" s="260">
        <v>26.548482999999997</v>
      </c>
      <c r="BQ150" s="260">
        <v>26.560419</v>
      </c>
      <c r="BR150" s="260">
        <v>26.572282999999999</v>
      </c>
      <c r="BS150" s="260">
        <v>26.584074999999999</v>
      </c>
      <c r="BT150" s="260">
        <v>26.595793999999998</v>
      </c>
      <c r="BU150" s="260">
        <v>26.607440999999998</v>
      </c>
      <c r="BV150" s="260">
        <v>26.619016999999999</v>
      </c>
      <c r="BW150" s="260">
        <v>26.630521999999999</v>
      </c>
      <c r="BX150" s="260">
        <v>26.641954999999999</v>
      </c>
      <c r="BY150" s="260">
        <v>26.653317999999999</v>
      </c>
      <c r="BZ150" s="260">
        <v>26.664610999999997</v>
      </c>
      <c r="CA150" s="260">
        <v>26.675833999999998</v>
      </c>
      <c r="CB150" s="260">
        <v>26.686986999999998</v>
      </c>
      <c r="CC150" s="260">
        <v>26.698070999999999</v>
      </c>
      <c r="CD150" s="260">
        <v>26.709084999999998</v>
      </c>
      <c r="CE150" s="260">
        <v>26.720030999999999</v>
      </c>
      <c r="CF150" s="260">
        <v>26.730909</v>
      </c>
      <c r="CG150" s="260">
        <v>26.741717999999999</v>
      </c>
      <c r="CH150" s="260">
        <v>26.752459999999999</v>
      </c>
    </row>
    <row r="151" spans="1:86" x14ac:dyDescent="0.25">
      <c r="A151" s="170">
        <v>2</v>
      </c>
      <c r="B151" s="170">
        <v>40</v>
      </c>
      <c r="C151" s="259">
        <v>25.606998443603516</v>
      </c>
      <c r="D151" s="259">
        <v>25.634653091430664</v>
      </c>
      <c r="E151" s="259">
        <v>25.661903381347656</v>
      </c>
      <c r="F151" s="259">
        <v>25.688755035400391</v>
      </c>
      <c r="G151" s="259">
        <v>25.715215682983398</v>
      </c>
      <c r="H151" s="259">
        <v>25.741287231445313</v>
      </c>
      <c r="I151" s="260">
        <v>25.485403999999999</v>
      </c>
      <c r="J151" s="260">
        <v>25.502721999999999</v>
      </c>
      <c r="K151" s="260">
        <v>25.519914</v>
      </c>
      <c r="L151" s="260">
        <v>25.536987</v>
      </c>
      <c r="M151" s="260">
        <v>25.553947999999998</v>
      </c>
      <c r="N151" s="260">
        <v>25.570802999999998</v>
      </c>
      <c r="O151" s="260">
        <v>25.587557</v>
      </c>
      <c r="P151" s="260">
        <v>25.604213999999999</v>
      </c>
      <c r="Q151" s="260">
        <v>25.620777</v>
      </c>
      <c r="R151" s="260">
        <v>25.637248</v>
      </c>
      <c r="S151" s="260">
        <v>25.65363</v>
      </c>
      <c r="T151" s="260">
        <v>25.669922999999997</v>
      </c>
      <c r="U151" s="260">
        <v>25.686128999999998</v>
      </c>
      <c r="V151" s="260">
        <v>25.702247999999997</v>
      </c>
      <c r="W151" s="260">
        <v>25.71828</v>
      </c>
      <c r="X151" s="260">
        <v>25.734224999999999</v>
      </c>
      <c r="Y151" s="260">
        <v>25.750083999999998</v>
      </c>
      <c r="Z151" s="260">
        <v>25.765857</v>
      </c>
      <c r="AA151" s="260">
        <v>25.781544</v>
      </c>
      <c r="AB151" s="260">
        <v>25.797145</v>
      </c>
      <c r="AC151" s="260">
        <v>25.812660999999999</v>
      </c>
      <c r="AD151" s="260">
        <v>25.828091999999998</v>
      </c>
      <c r="AE151" s="260">
        <v>25.843436999999998</v>
      </c>
      <c r="AF151" s="260">
        <v>25.858698</v>
      </c>
      <c r="AG151" s="260">
        <v>25.873873</v>
      </c>
      <c r="AH151" s="260">
        <v>25.888964999999999</v>
      </c>
      <c r="AI151" s="260">
        <v>25.903972</v>
      </c>
      <c r="AJ151" s="260">
        <v>25.918894999999999</v>
      </c>
      <c r="AK151" s="260">
        <v>25.933734999999999</v>
      </c>
      <c r="AL151" s="260">
        <v>25.948490999999997</v>
      </c>
      <c r="AM151" s="260">
        <v>25.963163999999999</v>
      </c>
      <c r="AN151" s="260">
        <v>25.977753999999997</v>
      </c>
      <c r="AO151" s="260">
        <v>25.992260999999999</v>
      </c>
      <c r="AP151" s="260">
        <v>26.006684999999997</v>
      </c>
      <c r="AQ151" s="260">
        <v>26.021027999999998</v>
      </c>
      <c r="AR151" s="260">
        <v>26.035287999999998</v>
      </c>
      <c r="AS151" s="260">
        <v>26.049465999999999</v>
      </c>
      <c r="AT151" s="260">
        <v>26.063564</v>
      </c>
      <c r="AU151" s="260">
        <v>26.077579</v>
      </c>
      <c r="AV151" s="260">
        <v>26.091514</v>
      </c>
      <c r="AW151" s="260">
        <v>26.105369</v>
      </c>
      <c r="AX151" s="260">
        <v>26.119142</v>
      </c>
      <c r="AY151" s="260">
        <v>26.132835999999998</v>
      </c>
      <c r="AZ151" s="260">
        <v>26.146449999999998</v>
      </c>
      <c r="BA151" s="260">
        <v>26.159983999999998</v>
      </c>
      <c r="BB151" s="260">
        <v>26.173438999999998</v>
      </c>
      <c r="BC151" s="260">
        <v>26.186814999999999</v>
      </c>
      <c r="BD151" s="260">
        <v>26.200111999999997</v>
      </c>
      <c r="BE151" s="260">
        <v>26.213329999999999</v>
      </c>
      <c r="BF151" s="260">
        <v>26.226471</v>
      </c>
      <c r="BG151" s="260">
        <v>26.239532999999998</v>
      </c>
      <c r="BH151" s="260">
        <v>26.252517999999998</v>
      </c>
      <c r="BI151" s="260">
        <v>26.265425999999998</v>
      </c>
      <c r="BJ151" s="260">
        <v>26.278257</v>
      </c>
      <c r="BK151" s="260">
        <v>26.29101</v>
      </c>
      <c r="BL151" s="260">
        <v>26.303687999999998</v>
      </c>
      <c r="BM151" s="260">
        <v>26.316288999999998</v>
      </c>
      <c r="BN151" s="260">
        <v>26.328814999999999</v>
      </c>
      <c r="BO151" s="260">
        <v>26.341265</v>
      </c>
      <c r="BP151" s="260">
        <v>26.353639999999999</v>
      </c>
      <c r="BQ151" s="260">
        <v>26.365939999999998</v>
      </c>
      <c r="BR151" s="260">
        <v>26.378164999999999</v>
      </c>
      <c r="BS151" s="260">
        <v>26.390315999999999</v>
      </c>
      <c r="BT151" s="260">
        <v>26.402393</v>
      </c>
      <c r="BU151" s="260">
        <v>26.414396999999997</v>
      </c>
      <c r="BV151" s="260">
        <v>26.426327000000001</v>
      </c>
      <c r="BW151" s="260">
        <v>26.438184</v>
      </c>
      <c r="BX151" s="260">
        <v>26.449967999999998</v>
      </c>
      <c r="BY151" s="260">
        <v>26.461679999999998</v>
      </c>
      <c r="BZ151" s="260">
        <v>26.473319999999998</v>
      </c>
      <c r="CA151" s="260">
        <v>26.484887999999998</v>
      </c>
      <c r="CB151" s="260">
        <v>26.496383999999999</v>
      </c>
      <c r="CC151" s="260">
        <v>26.507809999999999</v>
      </c>
      <c r="CD151" s="260">
        <v>26.519164</v>
      </c>
      <c r="CE151" s="260">
        <v>26.530448999999997</v>
      </c>
      <c r="CF151" s="260">
        <v>26.541663</v>
      </c>
      <c r="CG151" s="260">
        <v>26.552806999999998</v>
      </c>
      <c r="CH151" s="260">
        <v>26.563880999999999</v>
      </c>
    </row>
    <row r="152" spans="1:86" x14ac:dyDescent="0.25">
      <c r="A152" s="170">
        <v>2</v>
      </c>
      <c r="B152" s="170">
        <v>41</v>
      </c>
      <c r="C152" s="259">
        <v>25.368175506591797</v>
      </c>
      <c r="D152" s="259">
        <v>25.396831512451172</v>
      </c>
      <c r="E152" s="259">
        <v>25.425071716308594</v>
      </c>
      <c r="F152" s="259">
        <v>25.452901840209961</v>
      </c>
      <c r="G152" s="259">
        <v>25.480329513549805</v>
      </c>
      <c r="H152" s="259">
        <v>25.507358551025391</v>
      </c>
      <c r="I152" s="260">
        <v>25.258911999999999</v>
      </c>
      <c r="J152" s="260">
        <v>25.276748999999999</v>
      </c>
      <c r="K152" s="260">
        <v>25.294449999999998</v>
      </c>
      <c r="L152" s="260">
        <v>25.312023</v>
      </c>
      <c r="M152" s="260">
        <v>25.329476</v>
      </c>
      <c r="N152" s="260">
        <v>25.346816</v>
      </c>
      <c r="O152" s="260">
        <v>25.364049999999999</v>
      </c>
      <c r="P152" s="260">
        <v>25.381181999999999</v>
      </c>
      <c r="Q152" s="260">
        <v>25.398215999999998</v>
      </c>
      <c r="R152" s="260">
        <v>25.415156</v>
      </c>
      <c r="S152" s="260">
        <v>25.432002999999998</v>
      </c>
      <c r="T152" s="260">
        <v>25.448758999999999</v>
      </c>
      <c r="U152" s="260">
        <v>25.465426999999998</v>
      </c>
      <c r="V152" s="260">
        <v>25.482004999999997</v>
      </c>
      <c r="W152" s="260">
        <v>25.498494999999998</v>
      </c>
      <c r="X152" s="260">
        <v>25.514896999999998</v>
      </c>
      <c r="Y152" s="260">
        <v>25.531209999999998</v>
      </c>
      <c r="Z152" s="260">
        <v>25.547435999999998</v>
      </c>
      <c r="AA152" s="260">
        <v>25.563573999999999</v>
      </c>
      <c r="AB152" s="260">
        <v>25.579623999999999</v>
      </c>
      <c r="AC152" s="260">
        <v>25.595587999999999</v>
      </c>
      <c r="AD152" s="260">
        <v>25.611463999999998</v>
      </c>
      <c r="AE152" s="260">
        <v>25.627253</v>
      </c>
      <c r="AF152" s="260">
        <v>25.642955999999998</v>
      </c>
      <c r="AG152" s="260">
        <v>25.658571999999999</v>
      </c>
      <c r="AH152" s="260">
        <v>25.674101999999998</v>
      </c>
      <c r="AI152" s="260">
        <v>25.689546</v>
      </c>
      <c r="AJ152" s="260">
        <v>25.704905</v>
      </c>
      <c r="AK152" s="260">
        <v>25.720177</v>
      </c>
      <c r="AL152" s="260">
        <v>25.735364999999998</v>
      </c>
      <c r="AM152" s="260">
        <v>25.750467</v>
      </c>
      <c r="AN152" s="260">
        <v>25.765484999999998</v>
      </c>
      <c r="AO152" s="260">
        <v>25.780417999999997</v>
      </c>
      <c r="AP152" s="260">
        <v>25.795266999999999</v>
      </c>
      <c r="AQ152" s="260">
        <v>25.810030999999999</v>
      </c>
      <c r="AR152" s="260">
        <v>25.824711999999998</v>
      </c>
      <c r="AS152" s="260">
        <v>25.839309</v>
      </c>
      <c r="AT152" s="260">
        <v>25.853822999999998</v>
      </c>
      <c r="AU152" s="260">
        <v>25.868254</v>
      </c>
      <c r="AV152" s="260">
        <v>25.882601999999999</v>
      </c>
      <c r="AW152" s="260">
        <v>25.896867999999998</v>
      </c>
      <c r="AX152" s="260">
        <v>25.911051</v>
      </c>
      <c r="AY152" s="260">
        <v>25.925151999999997</v>
      </c>
      <c r="AZ152" s="260">
        <v>25.939171999999999</v>
      </c>
      <c r="BA152" s="260">
        <v>25.953109999999999</v>
      </c>
      <c r="BB152" s="260">
        <v>25.966967</v>
      </c>
      <c r="BC152" s="260">
        <v>25.980743</v>
      </c>
      <c r="BD152" s="260">
        <v>25.994437999999999</v>
      </c>
      <c r="BE152" s="260">
        <v>26.008053999999998</v>
      </c>
      <c r="BF152" s="260">
        <v>26.021588999999999</v>
      </c>
      <c r="BG152" s="260">
        <v>26.035043999999999</v>
      </c>
      <c r="BH152" s="260">
        <v>26.04842</v>
      </c>
      <c r="BI152" s="260">
        <v>26.061716999999998</v>
      </c>
      <c r="BJ152" s="260">
        <v>26.074935</v>
      </c>
      <c r="BK152" s="260">
        <v>26.088073999999999</v>
      </c>
      <c r="BL152" s="260">
        <v>26.101134999999999</v>
      </c>
      <c r="BM152" s="260">
        <v>26.114117999999998</v>
      </c>
      <c r="BN152" s="260">
        <v>26.127023999999999</v>
      </c>
      <c r="BO152" s="260">
        <v>26.139851999999998</v>
      </c>
      <c r="BP152" s="260">
        <v>26.152602999999999</v>
      </c>
      <c r="BQ152" s="260">
        <v>26.165277</v>
      </c>
      <c r="BR152" s="260">
        <v>26.177875</v>
      </c>
      <c r="BS152" s="260">
        <v>26.190396</v>
      </c>
      <c r="BT152" s="260">
        <v>26.202842</v>
      </c>
      <c r="BU152" s="260">
        <v>26.215211999999998</v>
      </c>
      <c r="BV152" s="260">
        <v>26.227508</v>
      </c>
      <c r="BW152" s="260">
        <v>26.239727999999999</v>
      </c>
      <c r="BX152" s="260">
        <v>26.251873999999997</v>
      </c>
      <c r="BY152" s="260">
        <v>26.263945</v>
      </c>
      <c r="BZ152" s="260">
        <v>26.275942000000001</v>
      </c>
      <c r="CA152" s="260">
        <v>26.287865999999998</v>
      </c>
      <c r="CB152" s="260">
        <v>26.299716999999998</v>
      </c>
      <c r="CC152" s="260">
        <v>26.311494999999997</v>
      </c>
      <c r="CD152" s="260">
        <v>26.3232</v>
      </c>
      <c r="CE152" s="260">
        <v>26.334831999999999</v>
      </c>
      <c r="CF152" s="260">
        <v>26.346392999999999</v>
      </c>
      <c r="CG152" s="260">
        <v>26.357882</v>
      </c>
      <c r="CH152" s="260">
        <v>26.369299999999999</v>
      </c>
    </row>
    <row r="153" spans="1:86" x14ac:dyDescent="0.25">
      <c r="A153" s="170">
        <v>2</v>
      </c>
      <c r="B153" s="170">
        <v>42</v>
      </c>
      <c r="C153" s="259">
        <v>25.121824264526367</v>
      </c>
      <c r="D153" s="259">
        <v>25.151500701904297</v>
      </c>
      <c r="E153" s="259">
        <v>25.180749893188477</v>
      </c>
      <c r="F153" s="259">
        <v>25.209577560424805</v>
      </c>
      <c r="G153" s="259">
        <v>25.23798942565918</v>
      </c>
      <c r="H153" s="259">
        <v>25.265993118286133</v>
      </c>
      <c r="I153" s="260">
        <v>25.025418999999999</v>
      </c>
      <c r="J153" s="260">
        <v>25.043792999999997</v>
      </c>
      <c r="K153" s="260">
        <v>25.062018999999999</v>
      </c>
      <c r="L153" s="260">
        <v>25.080106999999998</v>
      </c>
      <c r="M153" s="260">
        <v>25.098067</v>
      </c>
      <c r="N153" s="260">
        <v>25.115905999999999</v>
      </c>
      <c r="O153" s="260">
        <v>25.133633</v>
      </c>
      <c r="P153" s="260">
        <v>25.151253000000001</v>
      </c>
      <c r="Q153" s="260">
        <v>25.168771</v>
      </c>
      <c r="R153" s="260">
        <v>25.18619</v>
      </c>
      <c r="S153" s="260">
        <v>25.203514999999999</v>
      </c>
      <c r="T153" s="260">
        <v>25.220746999999999</v>
      </c>
      <c r="U153" s="260">
        <v>25.237887000000001</v>
      </c>
      <c r="V153" s="260">
        <v>25.254936999999998</v>
      </c>
      <c r="W153" s="260">
        <v>25.271895999999998</v>
      </c>
      <c r="X153" s="260">
        <v>25.288765999999999</v>
      </c>
      <c r="Y153" s="260">
        <v>25.305544999999999</v>
      </c>
      <c r="Z153" s="260">
        <v>25.322234999999999</v>
      </c>
      <c r="AA153" s="260">
        <v>25.338836000000001</v>
      </c>
      <c r="AB153" s="260">
        <v>25.355346999999998</v>
      </c>
      <c r="AC153" s="260">
        <v>25.371769999999998</v>
      </c>
      <c r="AD153" s="260">
        <v>25.388102999999997</v>
      </c>
      <c r="AE153" s="260">
        <v>25.404347999999999</v>
      </c>
      <c r="AF153" s="260">
        <v>25.420504999999999</v>
      </c>
      <c r="AG153" s="260">
        <v>25.436572999999999</v>
      </c>
      <c r="AH153" s="260">
        <v>25.452552999999998</v>
      </c>
      <c r="AI153" s="260">
        <v>25.468444999999999</v>
      </c>
      <c r="AJ153" s="260">
        <v>25.484249999999999</v>
      </c>
      <c r="AK153" s="260">
        <v>25.499967999999999</v>
      </c>
      <c r="AL153" s="260">
        <v>25.515597999999997</v>
      </c>
      <c r="AM153" s="260">
        <v>25.531140999999998</v>
      </c>
      <c r="AN153" s="260">
        <v>25.546597999999999</v>
      </c>
      <c r="AO153" s="260">
        <v>25.561968999999998</v>
      </c>
      <c r="AP153" s="260">
        <v>25.577252999999999</v>
      </c>
      <c r="AQ153" s="260">
        <v>25.592451000000001</v>
      </c>
      <c r="AR153" s="260">
        <v>25.607564</v>
      </c>
      <c r="AS153" s="260">
        <v>25.622591</v>
      </c>
      <c r="AT153" s="260">
        <v>25.637532999999998</v>
      </c>
      <c r="AU153" s="260">
        <v>25.65239</v>
      </c>
      <c r="AV153" s="260">
        <v>25.667161999999998</v>
      </c>
      <c r="AW153" s="260">
        <v>25.681849999999997</v>
      </c>
      <c r="AX153" s="260">
        <v>25.696453999999999</v>
      </c>
      <c r="AY153" s="260">
        <v>25.710974</v>
      </c>
      <c r="AZ153" s="260">
        <v>25.725410999999998</v>
      </c>
      <c r="BA153" s="260">
        <v>25.739763999999997</v>
      </c>
      <c r="BB153" s="260">
        <v>25.754033999999997</v>
      </c>
      <c r="BC153" s="260">
        <v>25.768221</v>
      </c>
      <c r="BD153" s="260">
        <v>25.782325999999998</v>
      </c>
      <c r="BE153" s="260">
        <v>25.796348999999999</v>
      </c>
      <c r="BF153" s="260">
        <v>25.810289999999998</v>
      </c>
      <c r="BG153" s="260">
        <v>25.824148999999998</v>
      </c>
      <c r="BH153" s="260">
        <v>25.837926</v>
      </c>
      <c r="BI153" s="260">
        <v>25.851623</v>
      </c>
      <c r="BJ153" s="260">
        <v>25.865238999999999</v>
      </c>
      <c r="BK153" s="260">
        <v>25.878774999999997</v>
      </c>
      <c r="BL153" s="260">
        <v>25.892229999999998</v>
      </c>
      <c r="BM153" s="260">
        <v>25.905604999999998</v>
      </c>
      <c r="BN153" s="260">
        <v>25.918900999999998</v>
      </c>
      <c r="BO153" s="260">
        <v>25.932117999999999</v>
      </c>
      <c r="BP153" s="260">
        <v>25.945256000000001</v>
      </c>
      <c r="BQ153" s="260">
        <v>25.958314999999999</v>
      </c>
      <c r="BR153" s="260">
        <v>25.971295999999999</v>
      </c>
      <c r="BS153" s="260">
        <v>25.984197999999999</v>
      </c>
      <c r="BT153" s="260">
        <v>25.997024</v>
      </c>
      <c r="BU153" s="260">
        <v>26.009770999999997</v>
      </c>
      <c r="BV153" s="260">
        <v>26.022441999999998</v>
      </c>
      <c r="BW153" s="260">
        <v>26.035035999999998</v>
      </c>
      <c r="BX153" s="260">
        <v>26.047552999999997</v>
      </c>
      <c r="BY153" s="260">
        <v>26.059994</v>
      </c>
      <c r="BZ153" s="260">
        <v>26.07236</v>
      </c>
      <c r="CA153" s="260">
        <v>26.08465</v>
      </c>
      <c r="CB153" s="260">
        <v>26.096864</v>
      </c>
      <c r="CC153" s="260">
        <v>26.109003999999999</v>
      </c>
      <c r="CD153" s="260">
        <v>26.12107</v>
      </c>
      <c r="CE153" s="260">
        <v>26.133060999999998</v>
      </c>
      <c r="CF153" s="260">
        <v>26.144978999999999</v>
      </c>
      <c r="CG153" s="260">
        <v>26.156822999999999</v>
      </c>
      <c r="CH153" s="260">
        <v>26.168592999999998</v>
      </c>
    </row>
    <row r="154" spans="1:86" x14ac:dyDescent="0.25">
      <c r="A154" s="170">
        <v>2</v>
      </c>
      <c r="B154" s="170">
        <v>43</v>
      </c>
      <c r="C154" s="259">
        <v>24.867767333984375</v>
      </c>
      <c r="D154" s="259">
        <v>24.898479461669922</v>
      </c>
      <c r="E154" s="259">
        <v>24.928754806518555</v>
      </c>
      <c r="F154" s="259">
        <v>24.958597183227539</v>
      </c>
      <c r="G154" s="259">
        <v>24.988014221191406</v>
      </c>
      <c r="H154" s="259">
        <v>25.017011642456055</v>
      </c>
      <c r="I154" s="260">
        <v>24.784817999999998</v>
      </c>
      <c r="J154" s="260">
        <v>24.803744999999999</v>
      </c>
      <c r="K154" s="260">
        <v>24.822510999999999</v>
      </c>
      <c r="L154" s="260">
        <v>24.841128999999999</v>
      </c>
      <c r="M154" s="260">
        <v>24.859607999999998</v>
      </c>
      <c r="N154" s="260">
        <v>24.877959999999998</v>
      </c>
      <c r="O154" s="260">
        <v>24.896191999999999</v>
      </c>
      <c r="P154" s="260">
        <v>24.914311999999999</v>
      </c>
      <c r="Q154" s="260">
        <v>24.932324999999999</v>
      </c>
      <c r="R154" s="260">
        <v>24.950236999999998</v>
      </c>
      <c r="S154" s="260">
        <v>24.968049999999998</v>
      </c>
      <c r="T154" s="260">
        <v>24.985768</v>
      </c>
      <c r="U154" s="260">
        <v>25.003391999999998</v>
      </c>
      <c r="V154" s="260">
        <v>25.020924999999998</v>
      </c>
      <c r="W154" s="260">
        <v>25.038364999999999</v>
      </c>
      <c r="X154" s="260">
        <v>25.055712999999997</v>
      </c>
      <c r="Y154" s="260">
        <v>25.072969999999998</v>
      </c>
      <c r="Z154" s="260">
        <v>25.090135999999998</v>
      </c>
      <c r="AA154" s="260">
        <v>25.107209999999998</v>
      </c>
      <c r="AB154" s="260">
        <v>25.124193999999999</v>
      </c>
      <c r="AC154" s="260">
        <v>25.141085999999998</v>
      </c>
      <c r="AD154" s="260">
        <v>25.157888</v>
      </c>
      <c r="AE154" s="260">
        <v>25.174599000000001</v>
      </c>
      <c r="AF154" s="260">
        <v>25.191220999999999</v>
      </c>
      <c r="AG154" s="260">
        <v>25.207751999999999</v>
      </c>
      <c r="AH154" s="260">
        <v>25.224193</v>
      </c>
      <c r="AI154" s="260">
        <v>25.240544999999997</v>
      </c>
      <c r="AJ154" s="260">
        <v>25.256806999999998</v>
      </c>
      <c r="AK154" s="260">
        <v>25.27298</v>
      </c>
      <c r="AL154" s="260">
        <v>25.289064</v>
      </c>
      <c r="AM154" s="260">
        <v>25.305059999999997</v>
      </c>
      <c r="AN154" s="260">
        <v>25.320967</v>
      </c>
      <c r="AO154" s="260">
        <v>25.336784999999999</v>
      </c>
      <c r="AP154" s="260">
        <v>25.352515999999998</v>
      </c>
      <c r="AQ154" s="260">
        <v>25.368158999999999</v>
      </c>
      <c r="AR154" s="260">
        <v>25.383713999999998</v>
      </c>
      <c r="AS154" s="260">
        <v>25.399182</v>
      </c>
      <c r="AT154" s="260">
        <v>25.414562999999998</v>
      </c>
      <c r="AU154" s="260">
        <v>25.429856999999998</v>
      </c>
      <c r="AV154" s="260">
        <v>25.445065</v>
      </c>
      <c r="AW154" s="260">
        <v>25.460186</v>
      </c>
      <c r="AX154" s="260">
        <v>25.475221999999999</v>
      </c>
      <c r="AY154" s="260">
        <v>25.490171</v>
      </c>
      <c r="AZ154" s="260">
        <v>25.505034999999999</v>
      </c>
      <c r="BA154" s="260">
        <v>25.519814</v>
      </c>
      <c r="BB154" s="260">
        <v>25.534507999999999</v>
      </c>
      <c r="BC154" s="260">
        <v>25.549116999999999</v>
      </c>
      <c r="BD154" s="260">
        <v>25.563641999999998</v>
      </c>
      <c r="BE154" s="260">
        <v>25.578082999999999</v>
      </c>
      <c r="BF154" s="260">
        <v>25.59244</v>
      </c>
      <c r="BG154" s="260">
        <v>25.606712999999999</v>
      </c>
      <c r="BH154" s="260">
        <v>25.620902999999998</v>
      </c>
      <c r="BI154" s="260">
        <v>25.635009999999998</v>
      </c>
      <c r="BJ154" s="260">
        <v>25.649034999999998</v>
      </c>
      <c r="BK154" s="260">
        <v>25.662976999999998</v>
      </c>
      <c r="BL154" s="260">
        <v>25.676836999999999</v>
      </c>
      <c r="BM154" s="260">
        <v>25.690614999999998</v>
      </c>
      <c r="BN154" s="260">
        <v>25.704311999999998</v>
      </c>
      <c r="BO154" s="260">
        <v>25.717928000000001</v>
      </c>
      <c r="BP154" s="260">
        <v>25.731462000000001</v>
      </c>
      <c r="BQ154" s="260">
        <v>25.744916999999997</v>
      </c>
      <c r="BR154" s="260">
        <v>25.758291</v>
      </c>
      <c r="BS154" s="260">
        <v>25.771584999999998</v>
      </c>
      <c r="BT154" s="260">
        <v>25.784799</v>
      </c>
      <c r="BU154" s="260">
        <v>25.797933999999998</v>
      </c>
      <c r="BV154" s="260">
        <v>25.810990999999998</v>
      </c>
      <c r="BW154" s="260">
        <v>25.823967999999997</v>
      </c>
      <c r="BX154" s="260">
        <v>25.836866999999998</v>
      </c>
      <c r="BY154" s="260">
        <v>25.849688</v>
      </c>
      <c r="BZ154" s="260">
        <v>25.862431999999998</v>
      </c>
      <c r="CA154" s="260">
        <v>25.875097999999998</v>
      </c>
      <c r="CB154" s="260">
        <v>25.887687</v>
      </c>
      <c r="CC154" s="260">
        <v>25.900198999999997</v>
      </c>
      <c r="CD154" s="260">
        <v>25.912634999999998</v>
      </c>
      <c r="CE154" s="260">
        <v>25.924994999999999</v>
      </c>
      <c r="CF154" s="260">
        <v>25.937279</v>
      </c>
      <c r="CG154" s="260">
        <v>25.949486999999998</v>
      </c>
      <c r="CH154" s="260">
        <v>25.961620999999997</v>
      </c>
    </row>
    <row r="155" spans="1:86" x14ac:dyDescent="0.25">
      <c r="A155" s="170">
        <v>2</v>
      </c>
      <c r="B155" s="170">
        <v>44</v>
      </c>
      <c r="C155" s="259">
        <v>24.605819702148438</v>
      </c>
      <c r="D155" s="259">
        <v>24.637584686279297</v>
      </c>
      <c r="E155" s="259">
        <v>24.668901443481445</v>
      </c>
      <c r="F155" s="259">
        <v>24.699773788452148</v>
      </c>
      <c r="G155" s="259">
        <v>24.73021125793457</v>
      </c>
      <c r="H155" s="259">
        <v>24.760217666625977</v>
      </c>
      <c r="I155" s="260">
        <v>24.536864999999999</v>
      </c>
      <c r="J155" s="260">
        <v>24.556362</v>
      </c>
      <c r="K155" s="260">
        <v>24.575683999999999</v>
      </c>
      <c r="L155" s="260">
        <v>24.594846</v>
      </c>
      <c r="M155" s="260">
        <v>24.613859999999999</v>
      </c>
      <c r="N155" s="260">
        <v>24.632738</v>
      </c>
      <c r="O155" s="260">
        <v>24.651488999999998</v>
      </c>
      <c r="P155" s="260">
        <v>24.670120999999998</v>
      </c>
      <c r="Q155" s="260">
        <v>24.688641999999998</v>
      </c>
      <c r="R155" s="260">
        <v>24.707056999999999</v>
      </c>
      <c r="S155" s="260">
        <v>24.725369999999998</v>
      </c>
      <c r="T155" s="260">
        <v>24.743586000000001</v>
      </c>
      <c r="U155" s="260">
        <v>24.761706</v>
      </c>
      <c r="V155" s="260">
        <v>24.779733</v>
      </c>
      <c r="W155" s="260">
        <v>24.797664999999999</v>
      </c>
      <c r="X155" s="260">
        <v>24.815503999999997</v>
      </c>
      <c r="Y155" s="260">
        <v>24.83325</v>
      </c>
      <c r="Z155" s="260">
        <v>24.850902999999999</v>
      </c>
      <c r="AA155" s="260">
        <v>24.868461999999997</v>
      </c>
      <c r="AB155" s="260">
        <v>24.885928999999997</v>
      </c>
      <c r="AC155" s="260">
        <v>24.903302999999998</v>
      </c>
      <c r="AD155" s="260">
        <v>24.920584999999999</v>
      </c>
      <c r="AE155" s="260">
        <v>24.937774999999998</v>
      </c>
      <c r="AF155" s="260">
        <v>24.954871999999998</v>
      </c>
      <c r="AG155" s="260">
        <v>24.971878</v>
      </c>
      <c r="AH155" s="260">
        <v>24.988792</v>
      </c>
      <c r="AI155" s="260">
        <v>25.005613999999998</v>
      </c>
      <c r="AJ155" s="260">
        <v>25.022345999999999</v>
      </c>
      <c r="AK155" s="260">
        <v>25.038985999999998</v>
      </c>
      <c r="AL155" s="260">
        <v>25.055534999999999</v>
      </c>
      <c r="AM155" s="260">
        <v>25.071994</v>
      </c>
      <c r="AN155" s="260">
        <v>25.088362999999998</v>
      </c>
      <c r="AO155" s="260">
        <v>25.104640999999997</v>
      </c>
      <c r="AP155" s="260">
        <v>25.120829000000001</v>
      </c>
      <c r="AQ155" s="260">
        <v>25.136927999999997</v>
      </c>
      <c r="AR155" s="260">
        <v>25.152936999999998</v>
      </c>
      <c r="AS155" s="260">
        <v>25.168858</v>
      </c>
      <c r="AT155" s="260">
        <v>25.184688999999999</v>
      </c>
      <c r="AU155" s="260">
        <v>25.200430999999998</v>
      </c>
      <c r="AV155" s="260">
        <v>25.216085</v>
      </c>
      <c r="AW155" s="260">
        <v>25.231650999999999</v>
      </c>
      <c r="AX155" s="260">
        <v>25.247128999999997</v>
      </c>
      <c r="AY155" s="260">
        <v>25.262518999999998</v>
      </c>
      <c r="AZ155" s="260">
        <v>25.277822</v>
      </c>
      <c r="BA155" s="260">
        <v>25.293037999999999</v>
      </c>
      <c r="BB155" s="260">
        <v>25.308166</v>
      </c>
      <c r="BC155" s="260">
        <v>25.323208999999999</v>
      </c>
      <c r="BD155" s="260">
        <v>25.338165</v>
      </c>
      <c r="BE155" s="260">
        <v>25.353033999999997</v>
      </c>
      <c r="BF155" s="260">
        <v>25.367818999999997</v>
      </c>
      <c r="BG155" s="260">
        <v>25.382517</v>
      </c>
      <c r="BH155" s="260">
        <v>25.397130999999998</v>
      </c>
      <c r="BI155" s="260">
        <v>25.411659</v>
      </c>
      <c r="BJ155" s="260">
        <v>25.426102999999998</v>
      </c>
      <c r="BK155" s="260">
        <v>25.440462999999998</v>
      </c>
      <c r="BL155" s="260">
        <v>25.454737999999999</v>
      </c>
      <c r="BM155" s="260">
        <v>25.46893</v>
      </c>
      <c r="BN155" s="260">
        <v>25.483038999999998</v>
      </c>
      <c r="BO155" s="260">
        <v>25.497063999999998</v>
      </c>
      <c r="BP155" s="260">
        <v>25.511006999999999</v>
      </c>
      <c r="BQ155" s="260">
        <v>25.524867</v>
      </c>
      <c r="BR155" s="260">
        <v>25.538644999999999</v>
      </c>
      <c r="BS155" s="260">
        <v>25.552340999999998</v>
      </c>
      <c r="BT155" s="260">
        <v>25.565954999999999</v>
      </c>
      <c r="BU155" s="260">
        <v>25.579487999999998</v>
      </c>
      <c r="BV155" s="260">
        <v>25.592941</v>
      </c>
      <c r="BW155" s="260">
        <v>25.606311999999999</v>
      </c>
      <c r="BX155" s="260">
        <v>25.619603999999999</v>
      </c>
      <c r="BY155" s="260">
        <v>25.632814999999997</v>
      </c>
      <c r="BZ155" s="260">
        <v>25.645947</v>
      </c>
      <c r="CA155" s="260">
        <v>25.658999999999999</v>
      </c>
      <c r="CB155" s="260">
        <v>25.671972999999998</v>
      </c>
      <c r="CC155" s="260">
        <v>25.684867999999998</v>
      </c>
      <c r="CD155" s="260">
        <v>25.697685</v>
      </c>
      <c r="CE155" s="260">
        <v>25.710422999999999</v>
      </c>
      <c r="CF155" s="260">
        <v>25.723084</v>
      </c>
      <c r="CG155" s="260">
        <v>25.735666999999999</v>
      </c>
      <c r="CH155" s="260">
        <v>25.748173999999999</v>
      </c>
    </row>
    <row r="156" spans="1:86" x14ac:dyDescent="0.25">
      <c r="A156" s="170">
        <v>2</v>
      </c>
      <c r="B156" s="170">
        <v>45</v>
      </c>
      <c r="C156" s="259">
        <v>24.335809707641602</v>
      </c>
      <c r="D156" s="259">
        <v>24.368642807006836</v>
      </c>
      <c r="E156" s="259">
        <v>24.40101432800293</v>
      </c>
      <c r="F156" s="259">
        <v>24.432931900024414</v>
      </c>
      <c r="G156" s="259">
        <v>24.46440315246582</v>
      </c>
      <c r="H156" s="259">
        <v>24.49543571472168</v>
      </c>
      <c r="I156" s="260">
        <v>24.281459999999999</v>
      </c>
      <c r="J156" s="260">
        <v>24.301539999999999</v>
      </c>
      <c r="K156" s="260">
        <v>24.321432999999999</v>
      </c>
      <c r="L156" s="260">
        <v>24.341152999999998</v>
      </c>
      <c r="M156" s="260">
        <v>24.360714999999999</v>
      </c>
      <c r="N156" s="260">
        <v>24.380130999999999</v>
      </c>
      <c r="O156" s="260">
        <v>24.399411999999998</v>
      </c>
      <c r="P156" s="260">
        <v>24.418568</v>
      </c>
      <c r="Q156" s="260">
        <v>24.437607999999997</v>
      </c>
      <c r="R156" s="260">
        <v>24.456537999999998</v>
      </c>
      <c r="S156" s="260">
        <v>24.475362999999998</v>
      </c>
      <c r="T156" s="260">
        <v>24.494087999999998</v>
      </c>
      <c r="U156" s="260">
        <v>24.512715</v>
      </c>
      <c r="V156" s="260">
        <v>24.531245999999999</v>
      </c>
      <c r="W156" s="260">
        <v>24.549681999999997</v>
      </c>
      <c r="X156" s="260">
        <v>24.568021999999999</v>
      </c>
      <c r="Y156" s="260">
        <v>24.586268</v>
      </c>
      <c r="Z156" s="260">
        <v>24.604417999999999</v>
      </c>
      <c r="AA156" s="260">
        <v>24.622474</v>
      </c>
      <c r="AB156" s="260">
        <v>24.640435</v>
      </c>
      <c r="AC156" s="260">
        <v>24.658301999999999</v>
      </c>
      <c r="AD156" s="260">
        <v>24.676074999999997</v>
      </c>
      <c r="AE156" s="260">
        <v>24.693752999999997</v>
      </c>
      <c r="AF156" s="260">
        <v>24.711337999999998</v>
      </c>
      <c r="AG156" s="260">
        <v>24.728828999999998</v>
      </c>
      <c r="AH156" s="260">
        <v>24.746226</v>
      </c>
      <c r="AI156" s="260">
        <v>24.763529999999999</v>
      </c>
      <c r="AJ156" s="260">
        <v>24.780742</v>
      </c>
      <c r="AK156" s="260">
        <v>24.79786</v>
      </c>
      <c r="AL156" s="260">
        <v>24.814885</v>
      </c>
      <c r="AM156" s="260">
        <v>24.831817999999998</v>
      </c>
      <c r="AN156" s="260">
        <v>24.848658999999998</v>
      </c>
      <c r="AO156" s="260">
        <v>24.865407999999999</v>
      </c>
      <c r="AP156" s="260">
        <v>24.882064999999997</v>
      </c>
      <c r="AQ156" s="260">
        <v>24.898630999999998</v>
      </c>
      <c r="AR156" s="260">
        <v>24.915105000000001</v>
      </c>
      <c r="AS156" s="260">
        <v>24.931487999999998</v>
      </c>
      <c r="AT156" s="260">
        <v>24.947779999999998</v>
      </c>
      <c r="AU156" s="260">
        <v>24.963981999999998</v>
      </c>
      <c r="AV156" s="260">
        <v>24.980093</v>
      </c>
      <c r="AW156" s="260">
        <v>24.996113999999999</v>
      </c>
      <c r="AX156" s="260">
        <v>25.012045000000001</v>
      </c>
      <c r="AY156" s="260">
        <v>25.027887</v>
      </c>
      <c r="AZ156" s="260">
        <v>25.043638999999999</v>
      </c>
      <c r="BA156" s="260">
        <v>25.059301999999999</v>
      </c>
      <c r="BB156" s="260">
        <v>25.074876999999997</v>
      </c>
      <c r="BC156" s="260">
        <v>25.090363</v>
      </c>
      <c r="BD156" s="260">
        <v>25.10576</v>
      </c>
      <c r="BE156" s="260">
        <v>25.12107</v>
      </c>
      <c r="BF156" s="260">
        <v>25.136291999999997</v>
      </c>
      <c r="BG156" s="260">
        <v>25.151425999999997</v>
      </c>
      <c r="BH156" s="260">
        <v>25.166473</v>
      </c>
      <c r="BI156" s="260">
        <v>25.181433999999999</v>
      </c>
      <c r="BJ156" s="260">
        <v>25.196307999999998</v>
      </c>
      <c r="BK156" s="260">
        <v>25.211095</v>
      </c>
      <c r="BL156" s="260">
        <v>25.225797</v>
      </c>
      <c r="BM156" s="260">
        <v>25.240413</v>
      </c>
      <c r="BN156" s="260">
        <v>25.254942999999997</v>
      </c>
      <c r="BO156" s="260">
        <v>25.269389</v>
      </c>
      <c r="BP156" s="260">
        <v>25.283749999999998</v>
      </c>
      <c r="BQ156" s="260">
        <v>25.298026</v>
      </c>
      <c r="BR156" s="260">
        <v>25.312217999999998</v>
      </c>
      <c r="BS156" s="260">
        <v>25.326325999999998</v>
      </c>
      <c r="BT156" s="260">
        <v>25.340350999999998</v>
      </c>
      <c r="BU156" s="260">
        <v>25.354292999999998</v>
      </c>
      <c r="BV156" s="260">
        <v>25.368150999999997</v>
      </c>
      <c r="BW156" s="260">
        <v>25.381926999999997</v>
      </c>
      <c r="BX156" s="260">
        <v>25.395620999999998</v>
      </c>
      <c r="BY156" s="260">
        <v>25.409233</v>
      </c>
      <c r="BZ156" s="260">
        <v>25.422763</v>
      </c>
      <c r="CA156" s="260">
        <v>25.436211999999998</v>
      </c>
      <c r="CB156" s="260">
        <v>25.449580999999998</v>
      </c>
      <c r="CC156" s="260">
        <v>25.462868</v>
      </c>
      <c r="CD156" s="260">
        <v>25.476074999999998</v>
      </c>
      <c r="CE156" s="260">
        <v>25.489201999999999</v>
      </c>
      <c r="CF156" s="260">
        <v>25.50225</v>
      </c>
      <c r="CG156" s="260">
        <v>25.515217999999997</v>
      </c>
      <c r="CH156" s="260">
        <v>25.528108</v>
      </c>
    </row>
    <row r="157" spans="1:86" x14ac:dyDescent="0.25">
      <c r="A157" s="170">
        <v>2</v>
      </c>
      <c r="B157" s="170">
        <v>46</v>
      </c>
      <c r="C157" s="259">
        <v>24.057968139648438</v>
      </c>
      <c r="D157" s="259">
        <v>24.091926574707031</v>
      </c>
      <c r="E157" s="259">
        <v>24.125411987304688</v>
      </c>
      <c r="F157" s="259">
        <v>24.158432006835938</v>
      </c>
      <c r="G157" s="259">
        <v>24.19099235534668</v>
      </c>
      <c r="H157" s="259">
        <v>24.223098754882813</v>
      </c>
      <c r="I157" s="260">
        <v>24.018470999999998</v>
      </c>
      <c r="J157" s="260">
        <v>24.039148999999998</v>
      </c>
      <c r="K157" s="260">
        <v>24.059625999999998</v>
      </c>
      <c r="L157" s="260">
        <v>24.079916999999998</v>
      </c>
      <c r="M157" s="260">
        <v>24.100037999999998</v>
      </c>
      <c r="N157" s="260">
        <v>24.120003999999998</v>
      </c>
      <c r="O157" s="260">
        <v>24.139827</v>
      </c>
      <c r="P157" s="260">
        <v>24.159519</v>
      </c>
      <c r="Q157" s="260">
        <v>24.179088</v>
      </c>
      <c r="R157" s="260">
        <v>24.198542999999997</v>
      </c>
      <c r="S157" s="260">
        <v>24.217890000000001</v>
      </c>
      <c r="T157" s="260">
        <v>24.237133999999998</v>
      </c>
      <c r="U157" s="260">
        <v>24.256277999999998</v>
      </c>
      <c r="V157" s="260">
        <v>24.275324999999999</v>
      </c>
      <c r="W157" s="260">
        <v>24.294273999999998</v>
      </c>
      <c r="X157" s="260">
        <v>24.313126</v>
      </c>
      <c r="Y157" s="260">
        <v>24.331882</v>
      </c>
      <c r="Z157" s="260">
        <v>24.350541</v>
      </c>
      <c r="AA157" s="260">
        <v>24.369102999999999</v>
      </c>
      <c r="AB157" s="260">
        <v>24.387568999999999</v>
      </c>
      <c r="AC157" s="260">
        <v>24.405939</v>
      </c>
      <c r="AD157" s="260">
        <v>24.424212999999998</v>
      </c>
      <c r="AE157" s="260">
        <v>24.442391000000001</v>
      </c>
      <c r="AF157" s="260">
        <v>24.460473</v>
      </c>
      <c r="AG157" s="260">
        <v>24.478459999999998</v>
      </c>
      <c r="AH157" s="260">
        <v>24.496351000000001</v>
      </c>
      <c r="AI157" s="260">
        <v>24.514147999999999</v>
      </c>
      <c r="AJ157" s="260">
        <v>24.531848999999998</v>
      </c>
      <c r="AK157" s="260">
        <v>24.549455999999999</v>
      </c>
      <c r="AL157" s="260">
        <v>24.566967999999999</v>
      </c>
      <c r="AM157" s="260">
        <v>24.584385999999999</v>
      </c>
      <c r="AN157" s="260">
        <v>24.601709</v>
      </c>
      <c r="AO157" s="260">
        <v>24.618938999999997</v>
      </c>
      <c r="AP157" s="260">
        <v>24.636074999999998</v>
      </c>
      <c r="AQ157" s="260">
        <v>24.653117999999999</v>
      </c>
      <c r="AR157" s="260">
        <v>24.670067</v>
      </c>
      <c r="AS157" s="260">
        <v>24.686923999999998</v>
      </c>
      <c r="AT157" s="260">
        <v>24.703686999999999</v>
      </c>
      <c r="AU157" s="260">
        <v>24.720357999999997</v>
      </c>
      <c r="AV157" s="260">
        <v>24.736936999999998</v>
      </c>
      <c r="AW157" s="260">
        <v>24.753423999999999</v>
      </c>
      <c r="AX157" s="260">
        <v>24.769818999999998</v>
      </c>
      <c r="AY157" s="260">
        <v>24.786121999999999</v>
      </c>
      <c r="AZ157" s="260">
        <v>24.802333999999998</v>
      </c>
      <c r="BA157" s="260">
        <v>24.818455</v>
      </c>
      <c r="BB157" s="260">
        <v>24.834485999999998</v>
      </c>
      <c r="BC157" s="260">
        <v>24.850425999999999</v>
      </c>
      <c r="BD157" s="260">
        <v>24.866274999999998</v>
      </c>
      <c r="BE157" s="260">
        <v>24.882034999999998</v>
      </c>
      <c r="BF157" s="260">
        <v>24.897704999999998</v>
      </c>
      <c r="BG157" s="260">
        <v>24.913284999999998</v>
      </c>
      <c r="BH157" s="260">
        <v>24.928777</v>
      </c>
      <c r="BI157" s="260">
        <v>24.944178999999998</v>
      </c>
      <c r="BJ157" s="260">
        <v>24.959492999999998</v>
      </c>
      <c r="BK157" s="260">
        <v>24.974719</v>
      </c>
      <c r="BL157" s="260">
        <v>24.989856999999997</v>
      </c>
      <c r="BM157" s="260">
        <v>25.004906999999999</v>
      </c>
      <c r="BN157" s="260">
        <v>25.019869999999997</v>
      </c>
      <c r="BO157" s="260">
        <v>25.034745999999998</v>
      </c>
      <c r="BP157" s="260">
        <v>25.049534999999999</v>
      </c>
      <c r="BQ157" s="260">
        <v>25.064236999999999</v>
      </c>
      <c r="BR157" s="260">
        <v>25.078854</v>
      </c>
      <c r="BS157" s="260">
        <v>25.093384</v>
      </c>
      <c r="BT157" s="260">
        <v>25.10783</v>
      </c>
      <c r="BU157" s="260">
        <v>25.122188999999999</v>
      </c>
      <c r="BV157" s="260">
        <v>25.136464</v>
      </c>
      <c r="BW157" s="260">
        <v>25.150655</v>
      </c>
      <c r="BX157" s="260">
        <v>25.164760999999999</v>
      </c>
      <c r="BY157" s="260">
        <v>25.178782999999999</v>
      </c>
      <c r="BZ157" s="260">
        <v>25.192722</v>
      </c>
      <c r="CA157" s="260">
        <v>25.206576999999999</v>
      </c>
      <c r="CB157" s="260">
        <v>25.22035</v>
      </c>
      <c r="CC157" s="260">
        <v>25.23404</v>
      </c>
      <c r="CD157" s="260">
        <v>25.247647000000001</v>
      </c>
      <c r="CE157" s="260">
        <v>25.261172999999999</v>
      </c>
      <c r="CF157" s="260">
        <v>25.274616999999999</v>
      </c>
      <c r="CG157" s="260">
        <v>25.287979999999997</v>
      </c>
      <c r="CH157" s="260">
        <v>25.301261999999998</v>
      </c>
    </row>
    <row r="158" spans="1:86" x14ac:dyDescent="0.25">
      <c r="A158" s="170">
        <v>2</v>
      </c>
      <c r="B158" s="170">
        <v>47</v>
      </c>
      <c r="C158" s="259">
        <v>23.771804809570313</v>
      </c>
      <c r="D158" s="259">
        <v>23.806903839111328</v>
      </c>
      <c r="E158" s="259">
        <v>23.841518402099609</v>
      </c>
      <c r="F158" s="259">
        <v>23.875654220581055</v>
      </c>
      <c r="G158" s="259">
        <v>23.909318923950195</v>
      </c>
      <c r="H158" s="259">
        <v>23.94251823425293</v>
      </c>
      <c r="I158" s="260">
        <v>23.747723000000001</v>
      </c>
      <c r="J158" s="260">
        <v>23.769012999999998</v>
      </c>
      <c r="K158" s="260">
        <v>23.790084999999998</v>
      </c>
      <c r="L158" s="260">
        <v>23.810959</v>
      </c>
      <c r="M158" s="260">
        <v>23.831650999999997</v>
      </c>
      <c r="N158" s="260">
        <v>23.852177999999999</v>
      </c>
      <c r="O158" s="260">
        <v>23.872553999999997</v>
      </c>
      <c r="P158" s="260">
        <v>23.892790999999999</v>
      </c>
      <c r="Q158" s="260">
        <v>23.912900999999998</v>
      </c>
      <c r="R158" s="260">
        <v>23.932890999999998</v>
      </c>
      <c r="S158" s="260">
        <v>23.952770999999998</v>
      </c>
      <c r="T158" s="260">
        <v>23.972543999999999</v>
      </c>
      <c r="U158" s="260">
        <v>23.992214999999998</v>
      </c>
      <c r="V158" s="260">
        <v>24.011786999999998</v>
      </c>
      <c r="W158" s="260">
        <v>24.03126</v>
      </c>
      <c r="X158" s="260">
        <v>24.050635</v>
      </c>
      <c r="Y158" s="260">
        <v>24.06991</v>
      </c>
      <c r="Z158" s="260">
        <v>24.089088</v>
      </c>
      <c r="AA158" s="260">
        <v>24.108166999999998</v>
      </c>
      <c r="AB158" s="260">
        <v>24.127147999999998</v>
      </c>
      <c r="AC158" s="260">
        <v>24.146030999999997</v>
      </c>
      <c r="AD158" s="260">
        <v>24.164816999999999</v>
      </c>
      <c r="AE158" s="260">
        <v>24.183503999999999</v>
      </c>
      <c r="AF158" s="260">
        <v>24.202095</v>
      </c>
      <c r="AG158" s="260">
        <v>24.220587999999999</v>
      </c>
      <c r="AH158" s="260">
        <v>24.238982999999998</v>
      </c>
      <c r="AI158" s="260">
        <v>24.257282</v>
      </c>
      <c r="AJ158" s="260">
        <v>24.275483999999999</v>
      </c>
      <c r="AK158" s="260">
        <v>24.293589999999998</v>
      </c>
      <c r="AL158" s="260">
        <v>24.311598999999998</v>
      </c>
      <c r="AM158" s="260">
        <v>24.329511999999998</v>
      </c>
      <c r="AN158" s="260">
        <v>24.347327999999997</v>
      </c>
      <c r="AO158" s="260">
        <v>24.36505</v>
      </c>
      <c r="AP158" s="260">
        <v>24.382674999999999</v>
      </c>
      <c r="AQ158" s="260">
        <v>24.400205</v>
      </c>
      <c r="AR158" s="260">
        <v>24.417639999999999</v>
      </c>
      <c r="AS158" s="260">
        <v>24.434979999999999</v>
      </c>
      <c r="AT158" s="260">
        <v>24.452226</v>
      </c>
      <c r="AU158" s="260">
        <v>24.469376999999998</v>
      </c>
      <c r="AV158" s="260">
        <v>24.486432999999998</v>
      </c>
      <c r="AW158" s="260">
        <v>24.503395999999999</v>
      </c>
      <c r="AX158" s="260">
        <v>24.520264999999998</v>
      </c>
      <c r="AY158" s="260">
        <v>24.537039999999998</v>
      </c>
      <c r="AZ158" s="260">
        <v>24.553722999999998</v>
      </c>
      <c r="BA158" s="260">
        <v>24.570311999999998</v>
      </c>
      <c r="BB158" s="260">
        <v>24.586807999999998</v>
      </c>
      <c r="BC158" s="260">
        <v>24.603213</v>
      </c>
      <c r="BD158" s="260">
        <v>24.619523999999998</v>
      </c>
      <c r="BE158" s="260">
        <v>24.635743999999999</v>
      </c>
      <c r="BF158" s="260">
        <v>24.651872999999998</v>
      </c>
      <c r="BG158" s="260">
        <v>24.667909999999999</v>
      </c>
      <c r="BH158" s="260">
        <v>24.683854999999998</v>
      </c>
      <c r="BI158" s="260">
        <v>24.69971</v>
      </c>
      <c r="BJ158" s="260">
        <v>24.715474999999998</v>
      </c>
      <c r="BK158" s="260">
        <v>24.731148999999998</v>
      </c>
      <c r="BL158" s="260">
        <v>24.746732999999999</v>
      </c>
      <c r="BM158" s="260">
        <v>24.762228</v>
      </c>
      <c r="BN158" s="260">
        <v>24.777632999999998</v>
      </c>
      <c r="BO158" s="260">
        <v>24.792949</v>
      </c>
      <c r="BP158" s="260">
        <v>24.808176</v>
      </c>
      <c r="BQ158" s="260">
        <v>24.823314999999997</v>
      </c>
      <c r="BR158" s="260">
        <v>24.838366000000001</v>
      </c>
      <c r="BS158" s="260">
        <v>24.853328999999999</v>
      </c>
      <c r="BT158" s="260">
        <v>24.868205</v>
      </c>
      <c r="BU158" s="260">
        <v>24.882992999999999</v>
      </c>
      <c r="BV158" s="260">
        <v>24.897693999999998</v>
      </c>
      <c r="BW158" s="260">
        <v>24.912309</v>
      </c>
      <c r="BX158" s="260">
        <v>24.926836999999999</v>
      </c>
      <c r="BY158" s="260">
        <v>24.941279999999999</v>
      </c>
      <c r="BZ158" s="260">
        <v>24.955636999999999</v>
      </c>
      <c r="CA158" s="260">
        <v>24.969908</v>
      </c>
      <c r="CB158" s="260">
        <v>24.984095</v>
      </c>
      <c r="CC158" s="260">
        <v>24.998196999999998</v>
      </c>
      <c r="CD158" s="260">
        <v>25.012214999999998</v>
      </c>
      <c r="CE158" s="260">
        <v>25.026149</v>
      </c>
      <c r="CF158" s="260">
        <v>25.04</v>
      </c>
      <c r="CG158" s="260">
        <v>25.053767000000001</v>
      </c>
      <c r="CH158" s="260">
        <v>25.067450999999998</v>
      </c>
    </row>
    <row r="159" spans="1:86" x14ac:dyDescent="0.25">
      <c r="A159" s="170">
        <v>2</v>
      </c>
      <c r="B159" s="170">
        <v>48</v>
      </c>
      <c r="C159" s="259">
        <v>23.477178573608398</v>
      </c>
      <c r="D159" s="259">
        <v>23.513431549072266</v>
      </c>
      <c r="E159" s="259">
        <v>23.549188613891602</v>
      </c>
      <c r="F159" s="259">
        <v>23.584453582763672</v>
      </c>
      <c r="G159" s="259">
        <v>23.619237899780273</v>
      </c>
      <c r="H159" s="259">
        <v>23.653541564941406</v>
      </c>
      <c r="I159" s="260">
        <v>23.468747</v>
      </c>
      <c r="J159" s="260">
        <v>23.490665</v>
      </c>
      <c r="K159" s="260">
        <v>23.512349</v>
      </c>
      <c r="L159" s="260">
        <v>23.533819999999999</v>
      </c>
      <c r="M159" s="260">
        <v>23.555097</v>
      </c>
      <c r="N159" s="260">
        <v>23.576197999999998</v>
      </c>
      <c r="O159" s="260">
        <v>23.59714</v>
      </c>
      <c r="P159" s="260">
        <v>23.617936</v>
      </c>
      <c r="Q159" s="260">
        <v>23.638597999999998</v>
      </c>
      <c r="R159" s="260">
        <v>23.659136999999998</v>
      </c>
      <c r="S159" s="260">
        <v>23.679561</v>
      </c>
      <c r="T159" s="260">
        <v>23.699876</v>
      </c>
      <c r="U159" s="260">
        <v>23.720086999999999</v>
      </c>
      <c r="V159" s="260">
        <v>23.740195999999997</v>
      </c>
      <c r="W159" s="260">
        <v>23.760204999999999</v>
      </c>
      <c r="X159" s="260">
        <v>23.780113999999998</v>
      </c>
      <c r="Y159" s="260">
        <v>23.799923</v>
      </c>
      <c r="Z159" s="260">
        <v>23.819630999999998</v>
      </c>
      <c r="AA159" s="260">
        <v>23.839238999999999</v>
      </c>
      <c r="AB159" s="260">
        <v>23.858747999999999</v>
      </c>
      <c r="AC159" s="260">
        <v>23.878156000000001</v>
      </c>
      <c r="AD159" s="260">
        <v>23.897465999999998</v>
      </c>
      <c r="AE159" s="260">
        <v>23.916674999999998</v>
      </c>
      <c r="AF159" s="260">
        <v>23.935786</v>
      </c>
      <c r="AG159" s="260">
        <v>23.954796999999999</v>
      </c>
      <c r="AH159" s="260">
        <v>23.973708999999999</v>
      </c>
      <c r="AI159" s="260">
        <v>23.992522999999998</v>
      </c>
      <c r="AJ159" s="260">
        <v>24.011237999999999</v>
      </c>
      <c r="AK159" s="260">
        <v>24.029854</v>
      </c>
      <c r="AL159" s="260">
        <v>24.048372999999998</v>
      </c>
      <c r="AM159" s="260">
        <v>24.066793000000001</v>
      </c>
      <c r="AN159" s="260">
        <v>24.085114999999998</v>
      </c>
      <c r="AO159" s="260">
        <v>24.103339999999999</v>
      </c>
      <c r="AP159" s="260">
        <v>24.121466999999999</v>
      </c>
      <c r="AQ159" s="260">
        <v>24.139495999999998</v>
      </c>
      <c r="AR159" s="260">
        <v>24.157429</v>
      </c>
      <c r="AS159" s="260">
        <v>24.175265</v>
      </c>
      <c r="AT159" s="260">
        <v>24.193003999999998</v>
      </c>
      <c r="AU159" s="260">
        <v>24.210646999999998</v>
      </c>
      <c r="AV159" s="260">
        <v>24.228193999999998</v>
      </c>
      <c r="AW159" s="260">
        <v>24.245645</v>
      </c>
      <c r="AX159" s="260">
        <v>24.262999999999998</v>
      </c>
      <c r="AY159" s="260">
        <v>24.280258999999997</v>
      </c>
      <c r="AZ159" s="260">
        <v>24.297423999999999</v>
      </c>
      <c r="BA159" s="260">
        <v>24.314492999999999</v>
      </c>
      <c r="BB159" s="260">
        <v>24.331467999999997</v>
      </c>
      <c r="BC159" s="260">
        <v>24.348347999999998</v>
      </c>
      <c r="BD159" s="260">
        <v>24.365133999999998</v>
      </c>
      <c r="BE159" s="260">
        <v>24.381826</v>
      </c>
      <c r="BF159" s="260">
        <v>24.398425</v>
      </c>
      <c r="BG159" s="260">
        <v>24.414929999999998</v>
      </c>
      <c r="BH159" s="260">
        <v>24.431341999999997</v>
      </c>
      <c r="BI159" s="260">
        <v>24.447661</v>
      </c>
      <c r="BJ159" s="260">
        <v>24.463887999999997</v>
      </c>
      <c r="BK159" s="260">
        <v>24.480021999999998</v>
      </c>
      <c r="BL159" s="260">
        <v>24.496064999999998</v>
      </c>
      <c r="BM159" s="260">
        <v>24.512014999999998</v>
      </c>
      <c r="BN159" s="260">
        <v>24.527874000000001</v>
      </c>
      <c r="BO159" s="260">
        <v>24.543642999999999</v>
      </c>
      <c r="BP159" s="260">
        <v>24.55932</v>
      </c>
      <c r="BQ159" s="260">
        <v>24.574907</v>
      </c>
      <c r="BR159" s="260">
        <v>24.590403999999999</v>
      </c>
      <c r="BS159" s="260">
        <v>24.605809999999998</v>
      </c>
      <c r="BT159" s="260">
        <v>24.621127999999999</v>
      </c>
      <c r="BU159" s="260">
        <v>24.636355999999999</v>
      </c>
      <c r="BV159" s="260">
        <v>24.651495000000001</v>
      </c>
      <c r="BW159" s="260">
        <v>24.666544999999999</v>
      </c>
      <c r="BX159" s="260">
        <v>24.681507</v>
      </c>
      <c r="BY159" s="260">
        <v>24.696382</v>
      </c>
      <c r="BZ159" s="260">
        <v>24.711167999999997</v>
      </c>
      <c r="CA159" s="260">
        <v>24.725866999999997</v>
      </c>
      <c r="CB159" s="260">
        <v>24.740479999999998</v>
      </c>
      <c r="CC159" s="260">
        <v>24.755005000000001</v>
      </c>
      <c r="CD159" s="260">
        <v>24.769444999999997</v>
      </c>
      <c r="CE159" s="260">
        <v>24.783797999999997</v>
      </c>
      <c r="CF159" s="260">
        <v>24.798065999999999</v>
      </c>
      <c r="CG159" s="260">
        <v>24.812248</v>
      </c>
      <c r="CH159" s="260">
        <v>24.826345999999997</v>
      </c>
    </row>
    <row r="160" spans="1:86" x14ac:dyDescent="0.25">
      <c r="A160" s="170">
        <v>2</v>
      </c>
      <c r="B160" s="170">
        <v>49</v>
      </c>
      <c r="C160" s="259">
        <v>23.173955917358398</v>
      </c>
      <c r="D160" s="259">
        <v>23.211372375488281</v>
      </c>
      <c r="E160" s="259">
        <v>23.248281478881836</v>
      </c>
      <c r="F160" s="259">
        <v>23.284688949584961</v>
      </c>
      <c r="G160" s="259">
        <v>23.320600509643555</v>
      </c>
      <c r="H160" s="259">
        <v>23.356023788452148</v>
      </c>
      <c r="I160" s="260">
        <v>23.181177999999999</v>
      </c>
      <c r="J160" s="260">
        <v>23.203740999999997</v>
      </c>
      <c r="K160" s="260">
        <v>23.226053</v>
      </c>
      <c r="L160" s="260">
        <v>23.248137</v>
      </c>
      <c r="M160" s="260">
        <v>23.270014999999997</v>
      </c>
      <c r="N160" s="260">
        <v>23.291705999999998</v>
      </c>
      <c r="O160" s="260">
        <v>23.313227999999999</v>
      </c>
      <c r="P160" s="260">
        <v>23.334596999999999</v>
      </c>
      <c r="Q160" s="260">
        <v>23.355826</v>
      </c>
      <c r="R160" s="260">
        <v>23.376925999999997</v>
      </c>
      <c r="S160" s="260">
        <v>23.397907999999997</v>
      </c>
      <c r="T160" s="260">
        <v>23.418779000000001</v>
      </c>
      <c r="U160" s="260">
        <v>23.439543</v>
      </c>
      <c r="V160" s="260">
        <v>23.460203999999997</v>
      </c>
      <c r="W160" s="260">
        <v>23.480761999999999</v>
      </c>
      <c r="X160" s="260">
        <v>23.501218999999999</v>
      </c>
      <c r="Y160" s="260">
        <v>23.521573999999998</v>
      </c>
      <c r="Z160" s="260">
        <v>23.541826</v>
      </c>
      <c r="AA160" s="260">
        <v>23.561976999999999</v>
      </c>
      <c r="AB160" s="260">
        <v>23.582027</v>
      </c>
      <c r="AC160" s="260">
        <v>23.601974999999999</v>
      </c>
      <c r="AD160" s="260">
        <v>23.621821000000001</v>
      </c>
      <c r="AE160" s="260">
        <v>23.641565999999997</v>
      </c>
      <c r="AF160" s="260">
        <v>23.661210000000001</v>
      </c>
      <c r="AG160" s="260">
        <v>23.680752999999999</v>
      </c>
      <c r="AH160" s="260">
        <v>23.700195999999998</v>
      </c>
      <c r="AI160" s="260">
        <v>23.719538</v>
      </c>
      <c r="AJ160" s="260">
        <v>23.738778999999997</v>
      </c>
      <c r="AK160" s="260">
        <v>23.757919999999999</v>
      </c>
      <c r="AL160" s="260">
        <v>23.776959999999999</v>
      </c>
      <c r="AM160" s="260">
        <v>23.795901000000001</v>
      </c>
      <c r="AN160" s="260">
        <v>23.814741999999999</v>
      </c>
      <c r="AO160" s="260">
        <v>23.833482999999998</v>
      </c>
      <c r="AP160" s="260">
        <v>23.852124999999997</v>
      </c>
      <c r="AQ160" s="260">
        <v>23.870667999999998</v>
      </c>
      <c r="AR160" s="260">
        <v>23.889111999999997</v>
      </c>
      <c r="AS160" s="260">
        <v>23.907456999999997</v>
      </c>
      <c r="AT160" s="260">
        <v>23.925702999999999</v>
      </c>
      <c r="AU160" s="260">
        <v>23.943850999999999</v>
      </c>
      <c r="AV160" s="260">
        <v>23.961900999999997</v>
      </c>
      <c r="AW160" s="260">
        <v>23.979852999999999</v>
      </c>
      <c r="AX160" s="260">
        <v>23.997706999999998</v>
      </c>
      <c r="AY160" s="260">
        <v>24.015463999999998</v>
      </c>
      <c r="AZ160" s="260">
        <v>24.033123999999997</v>
      </c>
      <c r="BA160" s="260">
        <v>24.050685999999999</v>
      </c>
      <c r="BB160" s="260">
        <v>24.068151999999998</v>
      </c>
      <c r="BC160" s="260">
        <v>24.085521999999997</v>
      </c>
      <c r="BD160" s="260">
        <v>24.102795</v>
      </c>
      <c r="BE160" s="260">
        <v>24.119972000000001</v>
      </c>
      <c r="BF160" s="260">
        <v>24.137053999999999</v>
      </c>
      <c r="BG160" s="260">
        <v>24.154039999999998</v>
      </c>
      <c r="BH160" s="260">
        <v>24.170931</v>
      </c>
      <c r="BI160" s="260">
        <v>24.187726999999999</v>
      </c>
      <c r="BJ160" s="260">
        <v>24.204428999999998</v>
      </c>
      <c r="BK160" s="260">
        <v>24.221035999999998</v>
      </c>
      <c r="BL160" s="260">
        <v>24.237548999999998</v>
      </c>
      <c r="BM160" s="260">
        <v>24.253968</v>
      </c>
      <c r="BN160" s="260">
        <v>24.270294</v>
      </c>
      <c r="BO160" s="260">
        <v>24.286527</v>
      </c>
      <c r="BP160" s="260">
        <v>24.302667</v>
      </c>
      <c r="BQ160" s="260">
        <v>24.318714</v>
      </c>
      <c r="BR160" s="260">
        <v>24.334669999999999</v>
      </c>
      <c r="BS160" s="260">
        <v>24.350532999999999</v>
      </c>
      <c r="BT160" s="260">
        <v>24.366304</v>
      </c>
      <c r="BU160" s="260">
        <v>24.381983999999999</v>
      </c>
      <c r="BV160" s="260">
        <v>24.397573999999999</v>
      </c>
      <c r="BW160" s="260">
        <v>24.413072</v>
      </c>
      <c r="BX160" s="260">
        <v>24.42848</v>
      </c>
      <c r="BY160" s="260">
        <v>24.443797999999997</v>
      </c>
      <c r="BZ160" s="260">
        <v>24.459026999999999</v>
      </c>
      <c r="CA160" s="260">
        <v>24.474166</v>
      </c>
      <c r="CB160" s="260">
        <v>24.489215999999999</v>
      </c>
      <c r="CC160" s="260">
        <v>24.504176999999999</v>
      </c>
      <c r="CD160" s="260">
        <v>24.51905</v>
      </c>
      <c r="CE160" s="260">
        <v>24.533833999999999</v>
      </c>
      <c r="CF160" s="260">
        <v>24.548531000000001</v>
      </c>
      <c r="CG160" s="260">
        <v>24.563140999999998</v>
      </c>
      <c r="CH160" s="260">
        <v>24.577663999999999</v>
      </c>
    </row>
    <row r="161" spans="1:86" x14ac:dyDescent="0.25">
      <c r="A161" s="170">
        <v>2</v>
      </c>
      <c r="B161" s="170">
        <v>50</v>
      </c>
      <c r="C161" s="259">
        <v>22.862018585205078</v>
      </c>
      <c r="D161" s="259">
        <v>22.900606155395508</v>
      </c>
      <c r="E161" s="259">
        <v>22.938674926757813</v>
      </c>
      <c r="F161" s="259">
        <v>22.976228713989258</v>
      </c>
      <c r="G161" s="259">
        <v>23.013277053833008</v>
      </c>
      <c r="H161" s="259">
        <v>23.049823760986328</v>
      </c>
      <c r="I161" s="260">
        <v>22.884879999999999</v>
      </c>
      <c r="J161" s="260">
        <v>22.908104999999999</v>
      </c>
      <c r="K161" s="260">
        <v>22.931061</v>
      </c>
      <c r="L161" s="260">
        <v>22.953772999999998</v>
      </c>
      <c r="M161" s="260">
        <v>22.976264999999998</v>
      </c>
      <c r="N161" s="260">
        <v>22.998559</v>
      </c>
      <c r="O161" s="260">
        <v>23.020675000000001</v>
      </c>
      <c r="P161" s="260">
        <v>23.042629999999999</v>
      </c>
      <c r="Q161" s="260">
        <v>23.064439</v>
      </c>
      <c r="R161" s="260">
        <v>23.086114999999999</v>
      </c>
      <c r="S161" s="260">
        <v>23.107668</v>
      </c>
      <c r="T161" s="260">
        <v>23.129106999999998</v>
      </c>
      <c r="U161" s="260">
        <v>23.150437</v>
      </c>
      <c r="V161" s="260">
        <v>23.171661999999998</v>
      </c>
      <c r="W161" s="260">
        <v>23.192782999999999</v>
      </c>
      <c r="X161" s="260">
        <v>23.213801</v>
      </c>
      <c r="Y161" s="260">
        <v>23.234714</v>
      </c>
      <c r="Z161" s="260">
        <v>23.255523999999998</v>
      </c>
      <c r="AA161" s="260">
        <v>23.276230999999999</v>
      </c>
      <c r="AB161" s="260">
        <v>23.296834</v>
      </c>
      <c r="AC161" s="260">
        <v>23.317333999999999</v>
      </c>
      <c r="AD161" s="260">
        <v>23.337730000000001</v>
      </c>
      <c r="AE161" s="260">
        <v>23.358024</v>
      </c>
      <c r="AF161" s="260">
        <v>23.378214999999997</v>
      </c>
      <c r="AG161" s="260">
        <v>23.398301999999997</v>
      </c>
      <c r="AH161" s="260">
        <v>23.418288</v>
      </c>
      <c r="AI161" s="260">
        <v>23.43817</v>
      </c>
      <c r="AJ161" s="260">
        <v>23.457950999999998</v>
      </c>
      <c r="AK161" s="260">
        <v>23.477629</v>
      </c>
      <c r="AL161" s="260">
        <v>23.497204999999997</v>
      </c>
      <c r="AM161" s="260">
        <v>23.516679</v>
      </c>
      <c r="AN161" s="260">
        <v>23.536051</v>
      </c>
      <c r="AO161" s="260">
        <v>23.555322</v>
      </c>
      <c r="AP161" s="260">
        <v>23.574491999999999</v>
      </c>
      <c r="AQ161" s="260">
        <v>23.593560999999998</v>
      </c>
      <c r="AR161" s="260">
        <v>23.612527999999998</v>
      </c>
      <c r="AS161" s="260">
        <v>23.631394999999998</v>
      </c>
      <c r="AT161" s="260">
        <v>23.650161000000001</v>
      </c>
      <c r="AU161" s="260">
        <v>23.668827</v>
      </c>
      <c r="AV161" s="260">
        <v>23.687393</v>
      </c>
      <c r="AW161" s="260">
        <v>23.705857999999999</v>
      </c>
      <c r="AX161" s="260">
        <v>23.724224</v>
      </c>
      <c r="AY161" s="260">
        <v>23.742490999999998</v>
      </c>
      <c r="AZ161" s="260">
        <v>23.760657999999999</v>
      </c>
      <c r="BA161" s="260">
        <v>23.778727</v>
      </c>
      <c r="BB161" s="260">
        <v>23.796696999999998</v>
      </c>
      <c r="BC161" s="260">
        <v>23.814567999999998</v>
      </c>
      <c r="BD161" s="260">
        <v>23.832341</v>
      </c>
      <c r="BE161" s="260">
        <v>23.850016</v>
      </c>
      <c r="BF161" s="260">
        <v>23.867592999999999</v>
      </c>
      <c r="BG161" s="260">
        <v>23.885071999999997</v>
      </c>
      <c r="BH161" s="260">
        <v>23.902455</v>
      </c>
      <c r="BI161" s="260">
        <v>23.919739999999997</v>
      </c>
      <c r="BJ161" s="260">
        <v>23.936928999999999</v>
      </c>
      <c r="BK161" s="260">
        <v>23.954020999999997</v>
      </c>
      <c r="BL161" s="260">
        <v>23.971017999999997</v>
      </c>
      <c r="BM161" s="260">
        <v>23.987918000000001</v>
      </c>
      <c r="BN161" s="260">
        <v>24.004722999999998</v>
      </c>
      <c r="BO161" s="260">
        <v>24.021432999999998</v>
      </c>
      <c r="BP161" s="260">
        <v>24.038048</v>
      </c>
      <c r="BQ161" s="260">
        <v>24.054568</v>
      </c>
      <c r="BR161" s="260">
        <v>24.070992999999998</v>
      </c>
      <c r="BS161" s="260">
        <v>24.087325</v>
      </c>
      <c r="BT161" s="260">
        <v>24.103562999999998</v>
      </c>
      <c r="BU161" s="260">
        <v>24.119706999999998</v>
      </c>
      <c r="BV161" s="260">
        <v>24.135759</v>
      </c>
      <c r="BW161" s="260">
        <v>24.151716999999998</v>
      </c>
      <c r="BX161" s="260">
        <v>24.167583</v>
      </c>
      <c r="BY161" s="260">
        <v>24.183356999999997</v>
      </c>
      <c r="BZ161" s="260">
        <v>24.199038999999999</v>
      </c>
      <c r="CA161" s="260">
        <v>24.21463</v>
      </c>
      <c r="CB161" s="260">
        <v>24.230128999999998</v>
      </c>
      <c r="CC161" s="260">
        <v>24.245538</v>
      </c>
      <c r="CD161" s="260">
        <v>24.260856</v>
      </c>
      <c r="CE161" s="260">
        <v>24.276083999999997</v>
      </c>
      <c r="CF161" s="260">
        <v>24.291221999999998</v>
      </c>
      <c r="CG161" s="260">
        <v>24.306269999999998</v>
      </c>
      <c r="CH161" s="260">
        <v>24.32123</v>
      </c>
    </row>
    <row r="162" spans="1:86" x14ac:dyDescent="0.25">
      <c r="A162" s="170">
        <v>2</v>
      </c>
      <c r="B162" s="170">
        <v>51</v>
      </c>
      <c r="C162" s="259">
        <v>22.541070938110352</v>
      </c>
      <c r="D162" s="259">
        <v>22.58079719543457</v>
      </c>
      <c r="E162" s="259">
        <v>22.6199951171875</v>
      </c>
      <c r="F162" s="259">
        <v>22.658670425415039</v>
      </c>
      <c r="G162" s="259">
        <v>22.696830749511719</v>
      </c>
      <c r="H162" s="259">
        <v>22.734481811523438</v>
      </c>
      <c r="I162" s="260">
        <v>22.579816999999998</v>
      </c>
      <c r="J162" s="260">
        <v>22.603715999999999</v>
      </c>
      <c r="K162" s="260">
        <v>22.627327999999999</v>
      </c>
      <c r="L162" s="260">
        <v>22.650680999999999</v>
      </c>
      <c r="M162" s="260">
        <v>22.673798999999999</v>
      </c>
      <c r="N162" s="260">
        <v>22.696707999999997</v>
      </c>
      <c r="O162" s="260">
        <v>22.719428999999998</v>
      </c>
      <c r="P162" s="260">
        <v>22.741980999999999</v>
      </c>
      <c r="Q162" s="260">
        <v>22.764381</v>
      </c>
      <c r="R162" s="260">
        <v>22.786642999999998</v>
      </c>
      <c r="S162" s="260">
        <v>22.808778999999998</v>
      </c>
      <c r="T162" s="260">
        <v>22.830797</v>
      </c>
      <c r="U162" s="260">
        <v>22.852705</v>
      </c>
      <c r="V162" s="260">
        <v>22.874504999999999</v>
      </c>
      <c r="W162" s="260">
        <v>22.8962</v>
      </c>
      <c r="X162" s="260">
        <v>22.91779</v>
      </c>
      <c r="Y162" s="260">
        <v>22.939273999999997</v>
      </c>
      <c r="Z162" s="260">
        <v>22.960653000000001</v>
      </c>
      <c r="AA162" s="260">
        <v>22.981925999999998</v>
      </c>
      <c r="AB162" s="260">
        <v>23.003094999999998</v>
      </c>
      <c r="AC162" s="260">
        <v>23.024158</v>
      </c>
      <c r="AD162" s="260">
        <v>23.045116</v>
      </c>
      <c r="AE162" s="260">
        <v>23.06597</v>
      </c>
      <c r="AF162" s="260">
        <v>23.086717999999998</v>
      </c>
      <c r="AG162" s="260">
        <v>23.107362999999999</v>
      </c>
      <c r="AH162" s="260">
        <v>23.127901999999999</v>
      </c>
      <c r="AI162" s="260">
        <v>23.148336999999998</v>
      </c>
      <c r="AJ162" s="260">
        <v>23.168668</v>
      </c>
      <c r="AK162" s="260">
        <v>23.188894999999999</v>
      </c>
      <c r="AL162" s="260">
        <v>23.209018</v>
      </c>
      <c r="AM162" s="260">
        <v>23.229036999999998</v>
      </c>
      <c r="AN162" s="260">
        <v>23.248953</v>
      </c>
      <c r="AO162" s="260">
        <v>23.268764999999998</v>
      </c>
      <c r="AP162" s="260">
        <v>23.288473999999997</v>
      </c>
      <c r="AQ162" s="260">
        <v>23.30808</v>
      </c>
      <c r="AR162" s="260">
        <v>23.327583000000001</v>
      </c>
      <c r="AS162" s="260">
        <v>23.346982999999998</v>
      </c>
      <c r="AT162" s="260">
        <v>23.36628</v>
      </c>
      <c r="AU162" s="260">
        <v>23.385476000000001</v>
      </c>
      <c r="AV162" s="260">
        <v>23.404568999999999</v>
      </c>
      <c r="AW162" s="260">
        <v>23.423559999999998</v>
      </c>
      <c r="AX162" s="260">
        <v>23.442449999999997</v>
      </c>
      <c r="AY162" s="260">
        <v>23.461237999999998</v>
      </c>
      <c r="AZ162" s="260">
        <v>23.479924</v>
      </c>
      <c r="BA162" s="260">
        <v>23.49851</v>
      </c>
      <c r="BB162" s="260">
        <v>23.516994999999998</v>
      </c>
      <c r="BC162" s="260">
        <v>23.53538</v>
      </c>
      <c r="BD162" s="260">
        <v>23.553663999999998</v>
      </c>
      <c r="BE162" s="260">
        <v>23.571847999999999</v>
      </c>
      <c r="BF162" s="260">
        <v>23.589931999999997</v>
      </c>
      <c r="BG162" s="260">
        <v>23.607915999999999</v>
      </c>
      <c r="BH162" s="260">
        <v>23.625802</v>
      </c>
      <c r="BI162" s="260">
        <v>23.643587999999998</v>
      </c>
      <c r="BJ162" s="260">
        <v>23.661275999999997</v>
      </c>
      <c r="BK162" s="260">
        <v>23.678864999999998</v>
      </c>
      <c r="BL162" s="260">
        <v>23.696355999999998</v>
      </c>
      <c r="BM162" s="260">
        <v>23.713749</v>
      </c>
      <c r="BN162" s="260">
        <v>23.731044000000001</v>
      </c>
      <c r="BO162" s="260">
        <v>23.748241999999998</v>
      </c>
      <c r="BP162" s="260">
        <v>23.765342999999998</v>
      </c>
      <c r="BQ162" s="260">
        <v>23.782346999999998</v>
      </c>
      <c r="BR162" s="260">
        <v>23.799253999999998</v>
      </c>
      <c r="BS162" s="260">
        <v>23.816065999999999</v>
      </c>
      <c r="BT162" s="260">
        <v>23.832781000000001</v>
      </c>
      <c r="BU162" s="260">
        <v>23.849401</v>
      </c>
      <c r="BV162" s="260">
        <v>23.865925999999998</v>
      </c>
      <c r="BW162" s="260">
        <v>23.882355999999998</v>
      </c>
      <c r="BX162" s="260">
        <v>23.898690999999999</v>
      </c>
      <c r="BY162" s="260">
        <v>23.914932</v>
      </c>
      <c r="BZ162" s="260">
        <v>23.931079</v>
      </c>
      <c r="CA162" s="260">
        <v>23.947132</v>
      </c>
      <c r="CB162" s="260">
        <v>23.963092</v>
      </c>
      <c r="CC162" s="260">
        <v>23.978959</v>
      </c>
      <c r="CD162" s="260">
        <v>23.994733</v>
      </c>
      <c r="CE162" s="260">
        <v>24.010414999999998</v>
      </c>
      <c r="CF162" s="260">
        <v>24.026004999999998</v>
      </c>
      <c r="CG162" s="260">
        <v>24.041502999999999</v>
      </c>
      <c r="CH162" s="260">
        <v>24.056910999999999</v>
      </c>
    </row>
    <row r="163" spans="1:86" x14ac:dyDescent="0.25">
      <c r="A163" s="170">
        <v>2</v>
      </c>
      <c r="B163" s="170">
        <v>52</v>
      </c>
      <c r="C163" s="259">
        <v>22.211275100708008</v>
      </c>
      <c r="D163" s="259">
        <v>22.252132415771484</v>
      </c>
      <c r="E163" s="259">
        <v>22.292453765869141</v>
      </c>
      <c r="F163" s="259">
        <v>22.332244873046875</v>
      </c>
      <c r="G163" s="259">
        <v>22.371509552001953</v>
      </c>
      <c r="H163" s="259">
        <v>22.410257339477539</v>
      </c>
      <c r="I163" s="260">
        <v>22.265491999999998</v>
      </c>
      <c r="J163" s="260">
        <v>22.290082999999999</v>
      </c>
      <c r="K163" s="260">
        <v>22.314367000000001</v>
      </c>
      <c r="L163" s="260">
        <v>22.338374999999999</v>
      </c>
      <c r="M163" s="260">
        <v>22.362133999999998</v>
      </c>
      <c r="N163" s="260">
        <v>22.385672</v>
      </c>
      <c r="O163" s="260">
        <v>22.409012000000001</v>
      </c>
      <c r="P163" s="260">
        <v>22.432174</v>
      </c>
      <c r="Q163" s="260">
        <v>22.455178</v>
      </c>
      <c r="R163" s="260">
        <v>22.47804</v>
      </c>
      <c r="S163" s="260">
        <v>22.500771</v>
      </c>
      <c r="T163" s="260">
        <v>22.523382999999999</v>
      </c>
      <c r="U163" s="260">
        <v>22.545880999999998</v>
      </c>
      <c r="V163" s="260">
        <v>22.568270999999999</v>
      </c>
      <c r="W163" s="260">
        <v>22.590553</v>
      </c>
      <c r="X163" s="260">
        <v>22.612728000000001</v>
      </c>
      <c r="Y163" s="260">
        <v>22.634795999999998</v>
      </c>
      <c r="Z163" s="260">
        <v>22.656756999999999</v>
      </c>
      <c r="AA163" s="260">
        <v>22.678611999999998</v>
      </c>
      <c r="AB163" s="260">
        <v>22.700358999999999</v>
      </c>
      <c r="AC163" s="260">
        <v>22.721999</v>
      </c>
      <c r="AD163" s="260">
        <v>22.743532999999999</v>
      </c>
      <c r="AE163" s="260">
        <v>22.764958999999998</v>
      </c>
      <c r="AF163" s="260">
        <v>22.786279999999998</v>
      </c>
      <c r="AG163" s="260">
        <v>22.807493999999998</v>
      </c>
      <c r="AH163" s="260">
        <v>22.828600999999999</v>
      </c>
      <c r="AI163" s="260">
        <v>22.849601999999997</v>
      </c>
      <c r="AJ163" s="260">
        <v>22.870497999999998</v>
      </c>
      <c r="AK163" s="260">
        <v>22.891286999999998</v>
      </c>
      <c r="AL163" s="260">
        <v>22.91197</v>
      </c>
      <c r="AM163" s="260">
        <v>22.932548000000001</v>
      </c>
      <c r="AN163" s="260">
        <v>22.953019999999999</v>
      </c>
      <c r="AO163" s="260">
        <v>22.973386999999999</v>
      </c>
      <c r="AP163" s="260">
        <v>22.993648</v>
      </c>
      <c r="AQ163" s="260">
        <v>23.013804999999998</v>
      </c>
      <c r="AR163" s="260">
        <v>23.033856</v>
      </c>
      <c r="AS163" s="260">
        <v>23.053802999999998</v>
      </c>
      <c r="AT163" s="260">
        <v>23.073646</v>
      </c>
      <c r="AU163" s="260">
        <v>23.093384</v>
      </c>
      <c r="AV163" s="260">
        <v>23.113018</v>
      </c>
      <c r="AW163" s="260">
        <v>23.132548</v>
      </c>
      <c r="AX163" s="260">
        <v>23.151973999999999</v>
      </c>
      <c r="AY163" s="260">
        <v>23.171295999999998</v>
      </c>
      <c r="AZ163" s="260">
        <v>23.190515999999999</v>
      </c>
      <c r="BA163" s="260">
        <v>23.209631999999999</v>
      </c>
      <c r="BB163" s="260">
        <v>23.228645999999998</v>
      </c>
      <c r="BC163" s="260">
        <v>23.247557</v>
      </c>
      <c r="BD163" s="260">
        <v>23.266365</v>
      </c>
      <c r="BE163" s="260">
        <v>23.285070999999999</v>
      </c>
      <c r="BF163" s="260">
        <v>23.303675999999999</v>
      </c>
      <c r="BG163" s="260">
        <v>23.322177999999997</v>
      </c>
      <c r="BH163" s="260">
        <v>23.340579999999999</v>
      </c>
      <c r="BI163" s="260">
        <v>23.358879999999999</v>
      </c>
      <c r="BJ163" s="260">
        <v>23.377078999999998</v>
      </c>
      <c r="BK163" s="260">
        <v>23.395177999999998</v>
      </c>
      <c r="BL163" s="260">
        <v>23.413176</v>
      </c>
      <c r="BM163" s="260">
        <v>23.431075</v>
      </c>
      <c r="BN163" s="260">
        <v>23.448872999999999</v>
      </c>
      <c r="BO163" s="260">
        <v>23.466571999999999</v>
      </c>
      <c r="BP163" s="260">
        <v>23.484171999999997</v>
      </c>
      <c r="BQ163" s="260">
        <v>23.501673</v>
      </c>
      <c r="BR163" s="260">
        <v>23.519074999999997</v>
      </c>
      <c r="BS163" s="260">
        <v>23.536379</v>
      </c>
      <c r="BT163" s="260">
        <v>23.553584999999998</v>
      </c>
      <c r="BU163" s="260">
        <v>23.570692999999999</v>
      </c>
      <c r="BV163" s="260">
        <v>23.587703999999999</v>
      </c>
      <c r="BW163" s="260">
        <v>23.604617999999999</v>
      </c>
      <c r="BX163" s="260">
        <v>23.621434999999998</v>
      </c>
      <c r="BY163" s="260">
        <v>23.638154999999998</v>
      </c>
      <c r="BZ163" s="260">
        <v>23.654778999999998</v>
      </c>
      <c r="CA163" s="260">
        <v>23.671308</v>
      </c>
      <c r="CB163" s="260">
        <v>23.687740999999999</v>
      </c>
      <c r="CC163" s="260">
        <v>23.704079</v>
      </c>
      <c r="CD163" s="260">
        <v>23.720321999999999</v>
      </c>
      <c r="CE163" s="260">
        <v>23.736470000000001</v>
      </c>
      <c r="CF163" s="260">
        <v>23.752523999999998</v>
      </c>
      <c r="CG163" s="260">
        <v>23.768484999999998</v>
      </c>
      <c r="CH163" s="260">
        <v>23.784351999999998</v>
      </c>
    </row>
    <row r="164" spans="1:86" x14ac:dyDescent="0.25">
      <c r="A164" s="170">
        <v>2</v>
      </c>
      <c r="B164" s="170">
        <v>53</v>
      </c>
      <c r="C164" s="259">
        <v>21.872501373291016</v>
      </c>
      <c r="D164" s="259">
        <v>21.914478302001953</v>
      </c>
      <c r="E164" s="259">
        <v>21.955909729003906</v>
      </c>
      <c r="F164" s="259">
        <v>21.996803283691406</v>
      </c>
      <c r="G164" s="259">
        <v>22.037166595458984</v>
      </c>
      <c r="H164" s="259">
        <v>22.077003479003906</v>
      </c>
      <c r="I164" s="260">
        <v>21.941143</v>
      </c>
      <c r="J164" s="260">
        <v>21.966450999999999</v>
      </c>
      <c r="K164" s="260">
        <v>21.991429999999998</v>
      </c>
      <c r="L164" s="260">
        <v>22.016114999999999</v>
      </c>
      <c r="M164" s="260">
        <v>22.040537</v>
      </c>
      <c r="N164" s="260">
        <v>22.064723000000001</v>
      </c>
      <c r="O164" s="260">
        <v>22.088701</v>
      </c>
      <c r="P164" s="260">
        <v>22.112493000000001</v>
      </c>
      <c r="Q164" s="260">
        <v>22.136119999999998</v>
      </c>
      <c r="R164" s="260">
        <v>22.159599</v>
      </c>
      <c r="S164" s="260">
        <v>22.182943999999999</v>
      </c>
      <c r="T164" s="260">
        <v>22.206166</v>
      </c>
      <c r="U164" s="260">
        <v>22.229271999999998</v>
      </c>
      <c r="V164" s="260">
        <v>22.252268999999998</v>
      </c>
      <c r="W164" s="260">
        <v>22.275155999999999</v>
      </c>
      <c r="X164" s="260">
        <v>22.297934999999999</v>
      </c>
      <c r="Y164" s="260">
        <v>22.320603999999999</v>
      </c>
      <c r="Z164" s="260">
        <v>22.343164999999999</v>
      </c>
      <c r="AA164" s="260">
        <v>22.365617</v>
      </c>
      <c r="AB164" s="260">
        <v>22.38796</v>
      </c>
      <c r="AC164" s="260">
        <v>22.410194999999998</v>
      </c>
      <c r="AD164" s="260">
        <v>22.432320999999998</v>
      </c>
      <c r="AE164" s="260">
        <v>22.454338999999997</v>
      </c>
      <c r="AF164" s="260">
        <v>22.476247999999998</v>
      </c>
      <c r="AG164" s="260">
        <v>22.498048999999998</v>
      </c>
      <c r="AH164" s="260">
        <v>22.519741999999997</v>
      </c>
      <c r="AI164" s="260">
        <v>22.541325999999998</v>
      </c>
      <c r="AJ164" s="260">
        <v>22.562802999999999</v>
      </c>
      <c r="AK164" s="260">
        <v>22.584170999999998</v>
      </c>
      <c r="AL164" s="260">
        <v>22.605432</v>
      </c>
      <c r="AM164" s="260">
        <v>22.626584999999999</v>
      </c>
      <c r="AN164" s="260">
        <v>22.647631000000001</v>
      </c>
      <c r="AO164" s="260">
        <v>22.668568999999998</v>
      </c>
      <c r="AP164" s="260">
        <v>22.689401</v>
      </c>
      <c r="AQ164" s="260">
        <v>22.710124999999998</v>
      </c>
      <c r="AR164" s="260">
        <v>22.730741999999999</v>
      </c>
      <c r="AS164" s="260">
        <v>22.751251999999997</v>
      </c>
      <c r="AT164" s="260">
        <v>22.771656</v>
      </c>
      <c r="AU164" s="260">
        <v>22.791954</v>
      </c>
      <c r="AV164" s="260">
        <v>22.812144999999997</v>
      </c>
      <c r="AW164" s="260">
        <v>22.832231</v>
      </c>
      <c r="AX164" s="260">
        <v>22.852209999999999</v>
      </c>
      <c r="AY164" s="260">
        <v>22.872083999999997</v>
      </c>
      <c r="AZ164" s="260">
        <v>22.891852999999998</v>
      </c>
      <c r="BA164" s="260">
        <v>22.911515999999999</v>
      </c>
      <c r="BB164" s="260">
        <v>22.931073999999999</v>
      </c>
      <c r="BC164" s="260">
        <v>22.950527999999998</v>
      </c>
      <c r="BD164" s="260">
        <v>22.969877</v>
      </c>
      <c r="BE164" s="260">
        <v>22.989121999999998</v>
      </c>
      <c r="BF164" s="260">
        <v>23.008262999999999</v>
      </c>
      <c r="BG164" s="260">
        <v>23.0273</v>
      </c>
      <c r="BH164" s="260">
        <v>23.046233999999998</v>
      </c>
      <c r="BI164" s="260">
        <v>23.065064</v>
      </c>
      <c r="BJ164" s="260">
        <v>23.083790999999998</v>
      </c>
      <c r="BK164" s="260">
        <v>23.102415000000001</v>
      </c>
      <c r="BL164" s="260">
        <v>23.120936999999998</v>
      </c>
      <c r="BM164" s="260">
        <v>23.139357</v>
      </c>
      <c r="BN164" s="260">
        <v>23.157674</v>
      </c>
      <c r="BO164" s="260">
        <v>23.175889999999999</v>
      </c>
      <c r="BP164" s="260">
        <v>23.194005000000001</v>
      </c>
      <c r="BQ164" s="260">
        <v>23.212018</v>
      </c>
      <c r="BR164" s="260">
        <v>23.229931000000001</v>
      </c>
      <c r="BS164" s="260">
        <v>23.247743</v>
      </c>
      <c r="BT164" s="260">
        <v>23.265453999999998</v>
      </c>
      <c r="BU164" s="260">
        <v>23.283065999999998</v>
      </c>
      <c r="BV164" s="260">
        <v>23.300578999999999</v>
      </c>
      <c r="BW164" s="260">
        <v>23.317990999999999</v>
      </c>
      <c r="BX164" s="260">
        <v>23.335304999999998</v>
      </c>
      <c r="BY164" s="260">
        <v>23.352520999999999</v>
      </c>
      <c r="BZ164" s="260">
        <v>23.369636999999997</v>
      </c>
      <c r="CA164" s="260">
        <v>23.386655999999999</v>
      </c>
      <c r="CB164" s="260">
        <v>23.403576999999999</v>
      </c>
      <c r="CC164" s="260">
        <v>23.420400999999998</v>
      </c>
      <c r="CD164" s="260">
        <v>23.437127999999998</v>
      </c>
      <c r="CE164" s="260">
        <v>23.453758000000001</v>
      </c>
      <c r="CF164" s="260">
        <v>23.470291</v>
      </c>
      <c r="CG164" s="260">
        <v>23.486729</v>
      </c>
      <c r="CH164" s="260">
        <v>23.503069999999997</v>
      </c>
    </row>
    <row r="165" spans="1:86" x14ac:dyDescent="0.25">
      <c r="A165" s="170">
        <v>2</v>
      </c>
      <c r="B165" s="170">
        <v>54</v>
      </c>
      <c r="C165" s="259">
        <v>21.524604797363281</v>
      </c>
      <c r="D165" s="259">
        <v>21.567682266235352</v>
      </c>
      <c r="E165" s="259">
        <v>21.610210418701172</v>
      </c>
      <c r="F165" s="259">
        <v>21.652193069458008</v>
      </c>
      <c r="G165" s="259">
        <v>21.693639755249023</v>
      </c>
      <c r="H165" s="259">
        <v>21.734552383422852</v>
      </c>
      <c r="I165" s="260">
        <v>21.60613</v>
      </c>
      <c r="J165" s="260">
        <v>21.632187999999999</v>
      </c>
      <c r="K165" s="260">
        <v>21.657892999999998</v>
      </c>
      <c r="L165" s="260">
        <v>21.683284</v>
      </c>
      <c r="M165" s="260">
        <v>21.708394999999999</v>
      </c>
      <c r="N165" s="260">
        <v>21.733255999999997</v>
      </c>
      <c r="O165" s="260">
        <v>21.757895999999999</v>
      </c>
      <c r="P165" s="260">
        <v>21.782340999999999</v>
      </c>
      <c r="Q165" s="260">
        <v>21.806612999999999</v>
      </c>
      <c r="R165" s="260">
        <v>21.830731</v>
      </c>
      <c r="S165" s="260">
        <v>21.854710999999998</v>
      </c>
      <c r="T165" s="260">
        <v>21.878563999999997</v>
      </c>
      <c r="U165" s="260">
        <v>21.9023</v>
      </c>
      <c r="V165" s="260">
        <v>21.925923999999998</v>
      </c>
      <c r="W165" s="260">
        <v>21.949435999999999</v>
      </c>
      <c r="X165" s="260">
        <v>21.972839</v>
      </c>
      <c r="Y165" s="260">
        <v>21.996129999999997</v>
      </c>
      <c r="Z165" s="260">
        <v>22.019310999999998</v>
      </c>
      <c r="AA165" s="260">
        <v>22.042382</v>
      </c>
      <c r="AB165" s="260">
        <v>22.065341</v>
      </c>
      <c r="AC165" s="260">
        <v>22.088190999999998</v>
      </c>
      <c r="AD165" s="260">
        <v>22.11093</v>
      </c>
      <c r="AE165" s="260">
        <v>22.133558000000001</v>
      </c>
      <c r="AF165" s="260">
        <v>22.156075999999999</v>
      </c>
      <c r="AG165" s="260">
        <v>22.178483999999997</v>
      </c>
      <c r="AH165" s="260">
        <v>22.200782</v>
      </c>
      <c r="AI165" s="260">
        <v>22.22297</v>
      </c>
      <c r="AJ165" s="260">
        <v>22.245047</v>
      </c>
      <c r="AK165" s="260">
        <v>22.267015000000001</v>
      </c>
      <c r="AL165" s="260">
        <v>22.288872999999999</v>
      </c>
      <c r="AM165" s="260">
        <v>22.310621999999999</v>
      </c>
      <c r="AN165" s="260">
        <v>22.332260999999999</v>
      </c>
      <c r="AO165" s="260">
        <v>22.35379</v>
      </c>
      <c r="AP165" s="260">
        <v>22.375209999999999</v>
      </c>
      <c r="AQ165" s="260">
        <v>22.396521</v>
      </c>
      <c r="AR165" s="260">
        <v>22.417724</v>
      </c>
      <c r="AS165" s="260">
        <v>22.438817</v>
      </c>
      <c r="AT165" s="260">
        <v>22.459802</v>
      </c>
      <c r="AU165" s="260">
        <v>22.480677999999997</v>
      </c>
      <c r="AV165" s="260">
        <v>22.501445999999998</v>
      </c>
      <c r="AW165" s="260">
        <v>22.522105999999997</v>
      </c>
      <c r="AX165" s="260">
        <v>22.542657999999999</v>
      </c>
      <c r="AY165" s="260">
        <v>22.563102000000001</v>
      </c>
      <c r="AZ165" s="260">
        <v>22.583437999999997</v>
      </c>
      <c r="BA165" s="260">
        <v>22.603667999999999</v>
      </c>
      <c r="BB165" s="260">
        <v>22.62379</v>
      </c>
      <c r="BC165" s="260">
        <v>22.643805</v>
      </c>
      <c r="BD165" s="260">
        <v>22.663712999999998</v>
      </c>
      <c r="BE165" s="260">
        <v>22.683515</v>
      </c>
      <c r="BF165" s="260">
        <v>22.703211</v>
      </c>
      <c r="BG165" s="260">
        <v>22.722801</v>
      </c>
      <c r="BH165" s="260">
        <v>22.742284999999999</v>
      </c>
      <c r="BI165" s="260">
        <v>22.761662999999999</v>
      </c>
      <c r="BJ165" s="260">
        <v>22.780936999999998</v>
      </c>
      <c r="BK165" s="260">
        <v>22.800104999999999</v>
      </c>
      <c r="BL165" s="260">
        <v>22.819167999999998</v>
      </c>
      <c r="BM165" s="260">
        <v>22.838127</v>
      </c>
      <c r="BN165" s="260">
        <v>22.856981999999999</v>
      </c>
      <c r="BO165" s="260">
        <v>22.875733</v>
      </c>
      <c r="BP165" s="260">
        <v>22.894379999999998</v>
      </c>
      <c r="BQ165" s="260">
        <v>22.912922999999999</v>
      </c>
      <c r="BR165" s="260">
        <v>22.931363999999999</v>
      </c>
      <c r="BS165" s="260">
        <v>22.949701999999998</v>
      </c>
      <c r="BT165" s="260">
        <v>22.967936999999999</v>
      </c>
      <c r="BU165" s="260">
        <v>22.986069999999998</v>
      </c>
      <c r="BV165" s="260">
        <v>23.004100999999999</v>
      </c>
      <c r="BW165" s="260">
        <v>23.022030999999998</v>
      </c>
      <c r="BX165" s="260">
        <v>23.039859</v>
      </c>
      <c r="BY165" s="260">
        <v>23.057586000000001</v>
      </c>
      <c r="BZ165" s="260">
        <v>23.075212999999998</v>
      </c>
      <c r="CA165" s="260">
        <v>23.092738999999998</v>
      </c>
      <c r="CB165" s="260">
        <v>23.110164999999999</v>
      </c>
      <c r="CC165" s="260">
        <v>23.127490999999999</v>
      </c>
      <c r="CD165" s="260">
        <v>23.144718999999998</v>
      </c>
      <c r="CE165" s="260">
        <v>23.161846999999998</v>
      </c>
      <c r="CF165" s="260">
        <v>23.178875999999999</v>
      </c>
      <c r="CG165" s="260">
        <v>23.195806999999999</v>
      </c>
      <c r="CH165" s="260">
        <v>23.21264</v>
      </c>
    </row>
    <row r="166" spans="1:86" x14ac:dyDescent="0.25">
      <c r="A166" s="170">
        <v>2</v>
      </c>
      <c r="B166" s="170">
        <v>55</v>
      </c>
      <c r="C166" s="259">
        <v>21.167488098144531</v>
      </c>
      <c r="D166" s="259">
        <v>21.211647033691406</v>
      </c>
      <c r="E166" s="259">
        <v>21.255250930786133</v>
      </c>
      <c r="F166" s="259">
        <v>21.298303604125977</v>
      </c>
      <c r="G166" s="259">
        <v>21.340814590454102</v>
      </c>
      <c r="H166" s="259">
        <v>21.382787704467773</v>
      </c>
      <c r="I166" s="260">
        <v>21.260714</v>
      </c>
      <c r="J166" s="260">
        <v>21.287548999999999</v>
      </c>
      <c r="K166" s="260">
        <v>21.314005999999999</v>
      </c>
      <c r="L166" s="260">
        <v>21.340125999999998</v>
      </c>
      <c r="M166" s="260">
        <v>21.365946999999998</v>
      </c>
      <c r="N166" s="260">
        <v>21.391503999999998</v>
      </c>
      <c r="O166" s="260">
        <v>21.416826</v>
      </c>
      <c r="P166" s="260">
        <v>21.441942999999998</v>
      </c>
      <c r="Q166" s="260">
        <v>21.466878999999999</v>
      </c>
      <c r="R166" s="260">
        <v>21.491652999999999</v>
      </c>
      <c r="S166" s="260">
        <v>21.516285</v>
      </c>
      <c r="T166" s="260">
        <v>21.540786000000001</v>
      </c>
      <c r="U166" s="260">
        <v>21.565168</v>
      </c>
      <c r="V166" s="260">
        <v>21.589434999999998</v>
      </c>
      <c r="W166" s="260">
        <v>21.613589999999999</v>
      </c>
      <c r="X166" s="260">
        <v>21.637632</v>
      </c>
      <c r="Y166" s="260">
        <v>21.661562</v>
      </c>
      <c r="Z166" s="260">
        <v>21.685379999999999</v>
      </c>
      <c r="AA166" s="260">
        <v>21.709084999999998</v>
      </c>
      <c r="AB166" s="260">
        <v>21.732676999999999</v>
      </c>
      <c r="AC166" s="260">
        <v>21.756157999999999</v>
      </c>
      <c r="AD166" s="260">
        <v>21.779526000000001</v>
      </c>
      <c r="AE166" s="260">
        <v>21.802781</v>
      </c>
      <c r="AF166" s="260">
        <v>21.825924999999998</v>
      </c>
      <c r="AG166" s="260">
        <v>21.848955999999998</v>
      </c>
      <c r="AH166" s="260">
        <v>21.871874999999999</v>
      </c>
      <c r="AI166" s="260">
        <v>21.894682</v>
      </c>
      <c r="AJ166" s="260">
        <v>21.917376999999998</v>
      </c>
      <c r="AK166" s="260">
        <v>21.939961</v>
      </c>
      <c r="AL166" s="260">
        <v>21.962432</v>
      </c>
      <c r="AM166" s="260">
        <v>21.984791999999999</v>
      </c>
      <c r="AN166" s="260">
        <v>22.00704</v>
      </c>
      <c r="AO166" s="260">
        <v>22.029177000000001</v>
      </c>
      <c r="AP166" s="260">
        <v>22.051202</v>
      </c>
      <c r="AQ166" s="260">
        <v>22.073115999999999</v>
      </c>
      <c r="AR166" s="260">
        <v>22.094919999999998</v>
      </c>
      <c r="AS166" s="260">
        <v>22.116612</v>
      </c>
      <c r="AT166" s="260">
        <v>22.138192999999998</v>
      </c>
      <c r="AU166" s="260">
        <v>22.159663999999999</v>
      </c>
      <c r="AV166" s="260">
        <v>22.181024999999998</v>
      </c>
      <c r="AW166" s="260">
        <v>22.202275</v>
      </c>
      <c r="AX166" s="260">
        <v>22.223414999999999</v>
      </c>
      <c r="AY166" s="260">
        <v>22.244444999999999</v>
      </c>
      <c r="AZ166" s="260">
        <v>22.265366</v>
      </c>
      <c r="BA166" s="260">
        <v>22.286175999999998</v>
      </c>
      <c r="BB166" s="260">
        <v>22.306877999999998</v>
      </c>
      <c r="BC166" s="260">
        <v>22.327469999999998</v>
      </c>
      <c r="BD166" s="260">
        <v>22.347953999999998</v>
      </c>
      <c r="BE166" s="260">
        <v>22.368328999999999</v>
      </c>
      <c r="BF166" s="260">
        <v>22.388594999999999</v>
      </c>
      <c r="BG166" s="260">
        <v>22.408752999999997</v>
      </c>
      <c r="BH166" s="260">
        <v>22.428802999999998</v>
      </c>
      <c r="BI166" s="260">
        <v>22.448744999999999</v>
      </c>
      <c r="BJ166" s="260">
        <v>22.468579999999999</v>
      </c>
      <c r="BK166" s="260">
        <v>22.488306999999999</v>
      </c>
      <c r="BL166" s="260">
        <v>22.507926999999999</v>
      </c>
      <c r="BM166" s="260">
        <v>22.527441</v>
      </c>
      <c r="BN166" s="260">
        <v>22.546848000000001</v>
      </c>
      <c r="BO166" s="260">
        <v>22.566148999999999</v>
      </c>
      <c r="BP166" s="260">
        <v>22.585342999999998</v>
      </c>
      <c r="BQ166" s="260">
        <v>22.604433</v>
      </c>
      <c r="BR166" s="260">
        <v>22.623415999999999</v>
      </c>
      <c r="BS166" s="260">
        <v>22.642295000000001</v>
      </c>
      <c r="BT166" s="260">
        <v>22.661068</v>
      </c>
      <c r="BU166" s="260">
        <v>22.679738</v>
      </c>
      <c r="BV166" s="260">
        <v>22.698302999999999</v>
      </c>
      <c r="BW166" s="260">
        <v>22.716763999999998</v>
      </c>
      <c r="BX166" s="260">
        <v>22.735120999999999</v>
      </c>
      <c r="BY166" s="260">
        <v>22.753374999999998</v>
      </c>
      <c r="BZ166" s="260">
        <v>22.771525999999998</v>
      </c>
      <c r="CA166" s="260">
        <v>22.789573999999998</v>
      </c>
      <c r="CB166" s="260">
        <v>22.80752</v>
      </c>
      <c r="CC166" s="260">
        <v>22.825364</v>
      </c>
      <c r="CD166" s="260">
        <v>22.843105999999999</v>
      </c>
      <c r="CE166" s="260">
        <v>22.860747</v>
      </c>
      <c r="CF166" s="260">
        <v>22.878287</v>
      </c>
      <c r="CG166" s="260">
        <v>22.895726</v>
      </c>
      <c r="CH166" s="260">
        <v>22.913065</v>
      </c>
    </row>
    <row r="167" spans="1:86" x14ac:dyDescent="0.25">
      <c r="A167" s="170">
        <v>2</v>
      </c>
      <c r="B167" s="170">
        <v>56</v>
      </c>
      <c r="C167" s="259">
        <v>20.801246643066406</v>
      </c>
      <c r="D167" s="259">
        <v>20.846475601196289</v>
      </c>
      <c r="E167" s="259">
        <v>20.891145706176758</v>
      </c>
      <c r="F167" s="259">
        <v>20.935262680053711</v>
      </c>
      <c r="G167" s="259">
        <v>20.978830337524414</v>
      </c>
      <c r="H167" s="259">
        <v>21.021856307983398</v>
      </c>
      <c r="I167" s="260">
        <v>20.905535999999998</v>
      </c>
      <c r="J167" s="260">
        <v>20.933163</v>
      </c>
      <c r="K167" s="260">
        <v>20.960384999999999</v>
      </c>
      <c r="L167" s="260">
        <v>20.987247</v>
      </c>
      <c r="M167" s="260">
        <v>21.01379</v>
      </c>
      <c r="N167" s="260">
        <v>21.040051999999999</v>
      </c>
      <c r="O167" s="260">
        <v>21.066067</v>
      </c>
      <c r="P167" s="260">
        <v>21.091864999999999</v>
      </c>
      <c r="Q167" s="260">
        <v>21.117473999999998</v>
      </c>
      <c r="R167" s="260">
        <v>21.142914999999999</v>
      </c>
      <c r="S167" s="260">
        <v>21.168208</v>
      </c>
      <c r="T167" s="260">
        <v>21.193366999999999</v>
      </c>
      <c r="U167" s="260">
        <v>21.218404</v>
      </c>
      <c r="V167" s="260">
        <v>21.243323999999998</v>
      </c>
      <c r="W167" s="260">
        <v>21.268129999999999</v>
      </c>
      <c r="X167" s="260">
        <v>21.292821999999997</v>
      </c>
      <c r="Y167" s="260">
        <v>21.317399999999999</v>
      </c>
      <c r="Z167" s="260">
        <v>21.341863999999998</v>
      </c>
      <c r="AA167" s="260">
        <v>21.366212999999998</v>
      </c>
      <c r="AB167" s="260">
        <v>21.390449</v>
      </c>
      <c r="AC167" s="260">
        <v>21.414569999999998</v>
      </c>
      <c r="AD167" s="260">
        <v>21.438575999999998</v>
      </c>
      <c r="AE167" s="260">
        <v>21.462468999999999</v>
      </c>
      <c r="AF167" s="260">
        <v>21.486248</v>
      </c>
      <c r="AG167" s="260">
        <v>21.509912</v>
      </c>
      <c r="AH167" s="260">
        <v>21.533462999999998</v>
      </c>
      <c r="AI167" s="260">
        <v>21.556898999999998</v>
      </c>
      <c r="AJ167" s="260">
        <v>21.580221999999999</v>
      </c>
      <c r="AK167" s="260">
        <v>21.603429999999999</v>
      </c>
      <c r="AL167" s="260">
        <v>21.626524999999997</v>
      </c>
      <c r="AM167" s="260">
        <v>21.649505999999999</v>
      </c>
      <c r="AN167" s="260">
        <v>21.672373999999998</v>
      </c>
      <c r="AO167" s="260">
        <v>21.695128</v>
      </c>
      <c r="AP167" s="260">
        <v>21.717769000000001</v>
      </c>
      <c r="AQ167" s="260">
        <v>21.740296999999998</v>
      </c>
      <c r="AR167" s="260">
        <v>21.762710999999999</v>
      </c>
      <c r="AS167" s="260">
        <v>21.785012999999999</v>
      </c>
      <c r="AT167" s="260">
        <v>21.807200999999999</v>
      </c>
      <c r="AU167" s="260">
        <v>21.829276999999998</v>
      </c>
      <c r="AV167" s="260">
        <v>21.851240000000001</v>
      </c>
      <c r="AW167" s="260">
        <v>21.873090999999999</v>
      </c>
      <c r="AX167" s="260">
        <v>21.894829999999999</v>
      </c>
      <c r="AY167" s="260">
        <v>21.916456</v>
      </c>
      <c r="AZ167" s="260">
        <v>21.937970999999997</v>
      </c>
      <c r="BA167" s="260">
        <v>21.959374</v>
      </c>
      <c r="BB167" s="260">
        <v>21.980664999999998</v>
      </c>
      <c r="BC167" s="260">
        <v>22.001844999999999</v>
      </c>
      <c r="BD167" s="260">
        <v>22.022914</v>
      </c>
      <c r="BE167" s="260">
        <v>22.043872</v>
      </c>
      <c r="BF167" s="260">
        <v>22.064719</v>
      </c>
      <c r="BG167" s="260">
        <v>22.085456000000001</v>
      </c>
      <c r="BH167" s="260">
        <v>22.106082999999998</v>
      </c>
      <c r="BI167" s="260">
        <v>22.126598999999999</v>
      </c>
      <c r="BJ167" s="260">
        <v>22.147005999999998</v>
      </c>
      <c r="BK167" s="260">
        <v>22.167303</v>
      </c>
      <c r="BL167" s="260">
        <v>22.187490999999998</v>
      </c>
      <c r="BM167" s="260">
        <v>22.207568999999999</v>
      </c>
      <c r="BN167" s="260">
        <v>22.227539</v>
      </c>
      <c r="BO167" s="260">
        <v>22.247399999999999</v>
      </c>
      <c r="BP167" s="260">
        <v>22.267153999999998</v>
      </c>
      <c r="BQ167" s="260">
        <v>22.286798999999998</v>
      </c>
      <c r="BR167" s="260">
        <v>22.306335999999998</v>
      </c>
      <c r="BS167" s="260">
        <v>22.325765999999998</v>
      </c>
      <c r="BT167" s="260">
        <v>22.345088000000001</v>
      </c>
      <c r="BU167" s="260">
        <v>22.364304000000001</v>
      </c>
      <c r="BV167" s="260">
        <v>22.383413999999998</v>
      </c>
      <c r="BW167" s="260">
        <v>22.402417</v>
      </c>
      <c r="BX167" s="260">
        <v>22.421313999999999</v>
      </c>
      <c r="BY167" s="260">
        <v>22.440104999999999</v>
      </c>
      <c r="BZ167" s="260">
        <v>22.458790999999998</v>
      </c>
      <c r="CA167" s="260">
        <v>22.477371999999999</v>
      </c>
      <c r="CB167" s="260">
        <v>22.495847999999999</v>
      </c>
      <c r="CC167" s="260">
        <v>22.514219999999998</v>
      </c>
      <c r="CD167" s="260">
        <v>22.532488000000001</v>
      </c>
      <c r="CE167" s="260">
        <v>22.550651999999999</v>
      </c>
      <c r="CF167" s="260">
        <v>22.568711999999998</v>
      </c>
      <c r="CG167" s="260">
        <v>22.586669999999998</v>
      </c>
      <c r="CH167" s="260">
        <v>22.604524999999999</v>
      </c>
    </row>
    <row r="168" spans="1:86" x14ac:dyDescent="0.25">
      <c r="A168" s="170">
        <v>2</v>
      </c>
      <c r="B168" s="170">
        <v>57</v>
      </c>
      <c r="C168" s="259">
        <v>20.425783157348633</v>
      </c>
      <c r="D168" s="259">
        <v>20.472051620483398</v>
      </c>
      <c r="E168" s="259">
        <v>20.517755508422852</v>
      </c>
      <c r="F168" s="259">
        <v>20.562902450561523</v>
      </c>
      <c r="G168" s="259">
        <v>20.607500076293945</v>
      </c>
      <c r="H168" s="259">
        <v>20.65155029296875</v>
      </c>
      <c r="I168" s="260">
        <v>20.541063999999999</v>
      </c>
      <c r="J168" s="260">
        <v>20.569488</v>
      </c>
      <c r="K168" s="260">
        <v>20.597479999999997</v>
      </c>
      <c r="L168" s="260">
        <v>20.625087000000001</v>
      </c>
      <c r="M168" s="260">
        <v>20.652355</v>
      </c>
      <c r="N168" s="260">
        <v>20.679324999999999</v>
      </c>
      <c r="O168" s="260">
        <v>20.706033999999999</v>
      </c>
      <c r="P168" s="260">
        <v>20.732516</v>
      </c>
      <c r="Q168" s="260">
        <v>20.758800000000001</v>
      </c>
      <c r="R168" s="260">
        <v>20.784910999999997</v>
      </c>
      <c r="S168" s="260">
        <v>20.810867999999999</v>
      </c>
      <c r="T168" s="260">
        <v>20.836689</v>
      </c>
      <c r="U168" s="260">
        <v>20.862383999999999</v>
      </c>
      <c r="V168" s="260">
        <v>20.887961999999998</v>
      </c>
      <c r="W168" s="260">
        <v>20.913422999999998</v>
      </c>
      <c r="X168" s="260">
        <v>20.938769000000001</v>
      </c>
      <c r="Y168" s="260">
        <v>20.963998999999998</v>
      </c>
      <c r="Z168" s="260">
        <v>20.989113</v>
      </c>
      <c r="AA168" s="260">
        <v>21.014111</v>
      </c>
      <c r="AB168" s="260">
        <v>21.038992999999998</v>
      </c>
      <c r="AC168" s="260">
        <v>21.063758999999997</v>
      </c>
      <c r="AD168" s="260">
        <v>21.08841</v>
      </c>
      <c r="AE168" s="260">
        <v>21.112943999999999</v>
      </c>
      <c r="AF168" s="260">
        <v>21.137362</v>
      </c>
      <c r="AG168" s="260">
        <v>21.161664999999999</v>
      </c>
      <c r="AH168" s="260">
        <v>21.185852000000001</v>
      </c>
      <c r="AI168" s="260">
        <v>21.209921999999999</v>
      </c>
      <c r="AJ168" s="260">
        <v>21.233877</v>
      </c>
      <c r="AK168" s="260">
        <v>21.257717</v>
      </c>
      <c r="AL168" s="260">
        <v>21.28144</v>
      </c>
      <c r="AM168" s="260">
        <v>21.305047999999999</v>
      </c>
      <c r="AN168" s="260">
        <v>21.328540999999998</v>
      </c>
      <c r="AO168" s="260">
        <v>21.351917999999998</v>
      </c>
      <c r="AP168" s="260">
        <v>21.37518</v>
      </c>
      <c r="AQ168" s="260">
        <v>21.398325999999997</v>
      </c>
      <c r="AR168" s="260">
        <v>21.421357</v>
      </c>
      <c r="AS168" s="260">
        <v>21.444274</v>
      </c>
      <c r="AT168" s="260">
        <v>21.467074999999998</v>
      </c>
      <c r="AU168" s="260">
        <v>21.489761999999999</v>
      </c>
      <c r="AV168" s="260">
        <v>21.512333999999999</v>
      </c>
      <c r="AW168" s="260">
        <v>21.534790999999998</v>
      </c>
      <c r="AX168" s="260">
        <v>21.557133999999998</v>
      </c>
      <c r="AY168" s="260">
        <v>21.579363000000001</v>
      </c>
      <c r="AZ168" s="260">
        <v>21.601478</v>
      </c>
      <c r="BA168" s="260">
        <v>21.623479</v>
      </c>
      <c r="BB168" s="260">
        <v>21.645367</v>
      </c>
      <c r="BC168" s="260">
        <v>21.66714</v>
      </c>
      <c r="BD168" s="260">
        <v>21.688800999999998</v>
      </c>
      <c r="BE168" s="260">
        <v>21.710349000000001</v>
      </c>
      <c r="BF168" s="260">
        <v>21.731783</v>
      </c>
      <c r="BG168" s="260">
        <v>21.753104999999998</v>
      </c>
      <c r="BH168" s="260">
        <v>21.774314999999998</v>
      </c>
      <c r="BI168" s="260">
        <v>21.795411999999999</v>
      </c>
      <c r="BJ168" s="260">
        <v>21.816396999999998</v>
      </c>
      <c r="BK168" s="260">
        <v>21.83727</v>
      </c>
      <c r="BL168" s="260">
        <v>21.858031999999998</v>
      </c>
      <c r="BM168" s="260">
        <v>21.878682999999999</v>
      </c>
      <c r="BN168" s="260">
        <v>21.899221999999998</v>
      </c>
      <c r="BO168" s="260">
        <v>21.919650999999998</v>
      </c>
      <c r="BP168" s="260">
        <v>21.939968999999998</v>
      </c>
      <c r="BQ168" s="260">
        <v>21.960176999999998</v>
      </c>
      <c r="BR168" s="260">
        <v>21.980274999999999</v>
      </c>
      <c r="BS168" s="260">
        <v>22.000263</v>
      </c>
      <c r="BT168" s="260">
        <v>22.020140999999999</v>
      </c>
      <c r="BU168" s="260">
        <v>22.039911</v>
      </c>
      <c r="BV168" s="260">
        <v>22.059570999999998</v>
      </c>
      <c r="BW168" s="260">
        <v>22.079122999999999</v>
      </c>
      <c r="BX168" s="260">
        <v>22.098566999999999</v>
      </c>
      <c r="BY168" s="260">
        <v>22.117902999999998</v>
      </c>
      <c r="BZ168" s="260">
        <v>22.137131</v>
      </c>
      <c r="CA168" s="260">
        <v>22.156250999999997</v>
      </c>
      <c r="CB168" s="260">
        <v>22.175265</v>
      </c>
      <c r="CC168" s="260">
        <v>22.194171999999998</v>
      </c>
      <c r="CD168" s="260">
        <v>22.212972000000001</v>
      </c>
      <c r="CE168" s="260">
        <v>22.231666999999998</v>
      </c>
      <c r="CF168" s="260">
        <v>22.250254999999999</v>
      </c>
      <c r="CG168" s="260">
        <v>22.268739</v>
      </c>
      <c r="CH168" s="260">
        <v>22.287116999999999</v>
      </c>
    </row>
    <row r="169" spans="1:86" x14ac:dyDescent="0.25">
      <c r="A169" s="170">
        <v>2</v>
      </c>
      <c r="B169" s="170">
        <v>58</v>
      </c>
      <c r="C169" s="259">
        <v>20.041250228881836</v>
      </c>
      <c r="D169" s="259">
        <v>20.088508605957031</v>
      </c>
      <c r="E169" s="259">
        <v>20.135204315185547</v>
      </c>
      <c r="F169" s="259">
        <v>20.181343078613281</v>
      </c>
      <c r="G169" s="259">
        <v>20.226926803588867</v>
      </c>
      <c r="H169" s="259">
        <v>20.271963119506836</v>
      </c>
      <c r="I169" s="260">
        <v>20.166954</v>
      </c>
      <c r="J169" s="260">
        <v>20.196185</v>
      </c>
      <c r="K169" s="260">
        <v>20.224952999999999</v>
      </c>
      <c r="L169" s="260">
        <v>20.253311999999998</v>
      </c>
      <c r="M169" s="260">
        <v>20.281309</v>
      </c>
      <c r="N169" s="260">
        <v>20.308990999999999</v>
      </c>
      <c r="O169" s="260">
        <v>20.336399</v>
      </c>
      <c r="P169" s="260">
        <v>20.363568000000001</v>
      </c>
      <c r="Q169" s="260">
        <v>20.390530999999999</v>
      </c>
      <c r="R169" s="260">
        <v>20.417313999999998</v>
      </c>
      <c r="S169" s="260">
        <v>20.443939999999998</v>
      </c>
      <c r="T169" s="260">
        <v>20.470426</v>
      </c>
      <c r="U169" s="260">
        <v>20.496783999999998</v>
      </c>
      <c r="V169" s="260">
        <v>20.523022999999998</v>
      </c>
      <c r="W169" s="260">
        <v>20.549143999999998</v>
      </c>
      <c r="X169" s="260">
        <v>20.575147999999999</v>
      </c>
      <c r="Y169" s="260">
        <v>20.601035</v>
      </c>
      <c r="Z169" s="260">
        <v>20.626804</v>
      </c>
      <c r="AA169" s="260">
        <v>20.652456000000001</v>
      </c>
      <c r="AB169" s="260">
        <v>20.677989999999998</v>
      </c>
      <c r="AC169" s="260">
        <v>20.703405999999998</v>
      </c>
      <c r="AD169" s="260">
        <v>20.728704999999998</v>
      </c>
      <c r="AE169" s="260">
        <v>20.753886999999999</v>
      </c>
      <c r="AF169" s="260">
        <v>20.778949999999998</v>
      </c>
      <c r="AG169" s="260">
        <v>20.803895999999998</v>
      </c>
      <c r="AH169" s="260">
        <v>20.828724999999999</v>
      </c>
      <c r="AI169" s="260">
        <v>20.853434999999998</v>
      </c>
      <c r="AJ169" s="260">
        <v>20.878028</v>
      </c>
      <c r="AK169" s="260">
        <v>20.902504</v>
      </c>
      <c r="AL169" s="260">
        <v>20.926862</v>
      </c>
      <c r="AM169" s="260">
        <v>20.951103</v>
      </c>
      <c r="AN169" s="260">
        <v>20.975225999999999</v>
      </c>
      <c r="AO169" s="260">
        <v>20.999231999999999</v>
      </c>
      <c r="AP169" s="260">
        <v>21.023119999999999</v>
      </c>
      <c r="AQ169" s="260">
        <v>21.046892</v>
      </c>
      <c r="AR169" s="260">
        <v>21.070546</v>
      </c>
      <c r="AS169" s="260">
        <v>21.094082999999998</v>
      </c>
      <c r="AT169" s="260">
        <v>21.117504</v>
      </c>
      <c r="AU169" s="260">
        <v>21.140806999999999</v>
      </c>
      <c r="AV169" s="260">
        <v>21.163993999999999</v>
      </c>
      <c r="AW169" s="260">
        <v>21.187065</v>
      </c>
      <c r="AX169" s="260">
        <v>21.210018999999999</v>
      </c>
      <c r="AY169" s="260">
        <v>21.232856999999999</v>
      </c>
      <c r="AZ169" s="260">
        <v>21.255578999999997</v>
      </c>
      <c r="BA169" s="260">
        <v>21.278185000000001</v>
      </c>
      <c r="BB169" s="260">
        <v>21.300674999999998</v>
      </c>
      <c r="BC169" s="260">
        <v>21.323048999999997</v>
      </c>
      <c r="BD169" s="260">
        <v>21.345307999999999</v>
      </c>
      <c r="BE169" s="260">
        <v>21.367452</v>
      </c>
      <c r="BF169" s="260">
        <v>21.389481</v>
      </c>
      <c r="BG169" s="260">
        <v>21.411394999999999</v>
      </c>
      <c r="BH169" s="260">
        <v>21.433194999999998</v>
      </c>
      <c r="BI169" s="260">
        <v>21.454878999999998</v>
      </c>
      <c r="BJ169" s="260">
        <v>21.47645</v>
      </c>
      <c r="BK169" s="260">
        <v>21.497906999999998</v>
      </c>
      <c r="BL169" s="260">
        <v>21.51925</v>
      </c>
      <c r="BM169" s="260">
        <v>21.540478999999998</v>
      </c>
      <c r="BN169" s="260">
        <v>21.561595999999998</v>
      </c>
      <c r="BO169" s="260">
        <v>21.582598999999998</v>
      </c>
      <c r="BP169" s="260">
        <v>21.603489</v>
      </c>
      <c r="BQ169" s="260">
        <v>21.624267</v>
      </c>
      <c r="BR169" s="260">
        <v>21.644932999999998</v>
      </c>
      <c r="BS169" s="260">
        <v>21.665485999999998</v>
      </c>
      <c r="BT169" s="260">
        <v>21.685928000000001</v>
      </c>
      <c r="BU169" s="260">
        <v>21.706258999999999</v>
      </c>
      <c r="BV169" s="260">
        <v>21.726478</v>
      </c>
      <c r="BW169" s="260">
        <v>21.746586000000001</v>
      </c>
      <c r="BX169" s="260">
        <v>21.766583999999998</v>
      </c>
      <c r="BY169" s="260">
        <v>21.786472</v>
      </c>
      <c r="BZ169" s="260">
        <v>21.806248999999998</v>
      </c>
      <c r="CA169" s="260">
        <v>21.825917</v>
      </c>
      <c r="CB169" s="260">
        <v>21.845475999999998</v>
      </c>
      <c r="CC169" s="260">
        <v>21.864924999999999</v>
      </c>
      <c r="CD169" s="260">
        <v>21.884266</v>
      </c>
      <c r="CE169" s="260">
        <v>21.903499</v>
      </c>
      <c r="CF169" s="260">
        <v>21.922622999999998</v>
      </c>
      <c r="CG169" s="260">
        <v>21.941638999999999</v>
      </c>
      <c r="CH169" s="260">
        <v>21.960549</v>
      </c>
    </row>
    <row r="170" spans="1:86" x14ac:dyDescent="0.25">
      <c r="A170" s="170">
        <v>2</v>
      </c>
      <c r="B170" s="170">
        <v>59</v>
      </c>
      <c r="C170" s="259">
        <v>19.647861480712891</v>
      </c>
      <c r="D170" s="259">
        <v>19.696056365966797</v>
      </c>
      <c r="E170" s="259">
        <v>19.743686676025391</v>
      </c>
      <c r="F170" s="259">
        <v>19.790761947631836</v>
      </c>
      <c r="G170" s="259">
        <v>19.837282180786133</v>
      </c>
      <c r="H170" s="259">
        <v>19.883255004882813</v>
      </c>
      <c r="I170" s="260">
        <v>19.782391000000001</v>
      </c>
      <c r="J170" s="260">
        <v>19.812452</v>
      </c>
      <c r="K170" s="260">
        <v>19.842016999999998</v>
      </c>
      <c r="L170" s="260">
        <v>19.871143</v>
      </c>
      <c r="M170" s="260">
        <v>19.899885999999999</v>
      </c>
      <c r="N170" s="260">
        <v>19.928293</v>
      </c>
      <c r="O170" s="260">
        <v>19.956409999999998</v>
      </c>
      <c r="P170" s="260">
        <v>19.984275999999998</v>
      </c>
      <c r="Q170" s="260">
        <v>20.011927</v>
      </c>
      <c r="R170" s="260">
        <v>20.039390999999998</v>
      </c>
      <c r="S170" s="260">
        <v>20.066693999999998</v>
      </c>
      <c r="T170" s="260">
        <v>20.093852999999999</v>
      </c>
      <c r="U170" s="260">
        <v>20.120882999999999</v>
      </c>
      <c r="V170" s="260">
        <v>20.147791999999999</v>
      </c>
      <c r="W170" s="260">
        <v>20.174581999999997</v>
      </c>
      <c r="X170" s="260">
        <v>20.201252999999998</v>
      </c>
      <c r="Y170" s="260">
        <v>20.227805</v>
      </c>
      <c r="Z170" s="260">
        <v>20.254238000000001</v>
      </c>
      <c r="AA170" s="260">
        <v>20.280552</v>
      </c>
      <c r="AB170" s="260">
        <v>20.306746999999998</v>
      </c>
      <c r="AC170" s="260">
        <v>20.332822</v>
      </c>
      <c r="AD170" s="260">
        <v>20.358778999999998</v>
      </c>
      <c r="AE170" s="260">
        <v>20.384615999999998</v>
      </c>
      <c r="AF170" s="260">
        <v>20.410332999999998</v>
      </c>
      <c r="AG170" s="260">
        <v>20.435931999999998</v>
      </c>
      <c r="AH170" s="260">
        <v>20.461410999999998</v>
      </c>
      <c r="AI170" s="260">
        <v>20.486770999999997</v>
      </c>
      <c r="AJ170" s="260">
        <v>20.512010999999998</v>
      </c>
      <c r="AK170" s="260">
        <v>20.537132</v>
      </c>
      <c r="AL170" s="260">
        <v>20.562134</v>
      </c>
      <c r="AM170" s="260">
        <v>20.587015999999998</v>
      </c>
      <c r="AN170" s="260">
        <v>20.61178</v>
      </c>
      <c r="AO170" s="260">
        <v>20.636423999999998</v>
      </c>
      <c r="AP170" s="260">
        <v>20.660947999999998</v>
      </c>
      <c r="AQ170" s="260">
        <v>20.685354</v>
      </c>
      <c r="AR170" s="260">
        <v>20.709640999999998</v>
      </c>
      <c r="AS170" s="260">
        <v>20.733809000000001</v>
      </c>
      <c r="AT170" s="260">
        <v>20.757857999999999</v>
      </c>
      <c r="AU170" s="260">
        <v>20.781787999999999</v>
      </c>
      <c r="AV170" s="260">
        <v>20.805599999999998</v>
      </c>
      <c r="AW170" s="260">
        <v>20.829293</v>
      </c>
      <c r="AX170" s="260">
        <v>20.852867999999997</v>
      </c>
      <c r="AY170" s="260">
        <v>20.876324999999998</v>
      </c>
      <c r="AZ170" s="260">
        <v>20.899663</v>
      </c>
      <c r="BA170" s="260">
        <v>20.922882999999999</v>
      </c>
      <c r="BB170" s="260">
        <v>20.945985999999998</v>
      </c>
      <c r="BC170" s="260">
        <v>20.968971</v>
      </c>
      <c r="BD170" s="260">
        <v>20.991837999999998</v>
      </c>
      <c r="BE170" s="260">
        <v>21.014588999999997</v>
      </c>
      <c r="BF170" s="260">
        <v>21.037222</v>
      </c>
      <c r="BG170" s="260">
        <v>21.059737999999999</v>
      </c>
      <c r="BH170" s="260">
        <v>21.082136999999999</v>
      </c>
      <c r="BI170" s="260">
        <v>21.104419</v>
      </c>
      <c r="BJ170" s="260">
        <v>21.126586</v>
      </c>
      <c r="BK170" s="260">
        <v>21.148636</v>
      </c>
      <c r="BL170" s="260">
        <v>21.170569999999998</v>
      </c>
      <c r="BM170" s="260">
        <v>21.192387999999998</v>
      </c>
      <c r="BN170" s="260">
        <v>21.214091</v>
      </c>
      <c r="BO170" s="260">
        <v>21.235678999999998</v>
      </c>
      <c r="BP170" s="260">
        <v>21.257151999999998</v>
      </c>
      <c r="BQ170" s="260">
        <v>21.278510000000001</v>
      </c>
      <c r="BR170" s="260">
        <v>21.299752999999999</v>
      </c>
      <c r="BS170" s="260">
        <v>21.320881999999997</v>
      </c>
      <c r="BT170" s="260">
        <v>21.341896999999999</v>
      </c>
      <c r="BU170" s="260">
        <v>21.362798999999999</v>
      </c>
      <c r="BV170" s="260">
        <v>21.383586999999999</v>
      </c>
      <c r="BW170" s="260">
        <v>21.404261999999999</v>
      </c>
      <c r="BX170" s="260">
        <v>21.424823999999997</v>
      </c>
      <c r="BY170" s="260">
        <v>21.445273</v>
      </c>
      <c r="BZ170" s="260">
        <v>21.465610999999999</v>
      </c>
      <c r="CA170" s="260">
        <v>21.485835999999999</v>
      </c>
      <c r="CB170" s="260">
        <v>21.505949999999999</v>
      </c>
      <c r="CC170" s="260">
        <v>21.525952</v>
      </c>
      <c r="CD170" s="260">
        <v>21.545842999999998</v>
      </c>
      <c r="CE170" s="260">
        <v>21.565622999999999</v>
      </c>
      <c r="CF170" s="260">
        <v>21.585293</v>
      </c>
      <c r="CG170" s="260">
        <v>21.604852999999999</v>
      </c>
      <c r="CH170" s="260">
        <v>21.624303999999999</v>
      </c>
    </row>
    <row r="171" spans="1:86" x14ac:dyDescent="0.25">
      <c r="A171" s="170">
        <v>2</v>
      </c>
      <c r="B171" s="170">
        <v>60</v>
      </c>
      <c r="C171" s="259">
        <v>19.245809555053711</v>
      </c>
      <c r="D171" s="259">
        <v>19.294870376586914</v>
      </c>
      <c r="E171" s="259">
        <v>19.343368530273438</v>
      </c>
      <c r="F171" s="259">
        <v>19.391313552856445</v>
      </c>
      <c r="G171" s="259">
        <v>19.43870735168457</v>
      </c>
      <c r="H171" s="259">
        <v>19.485557556152344</v>
      </c>
      <c r="I171" s="260">
        <v>19.387139999999999</v>
      </c>
      <c r="J171" s="260">
        <v>19.418059</v>
      </c>
      <c r="K171" s="260">
        <v>19.448445</v>
      </c>
      <c r="L171" s="260">
        <v>19.478359999999999</v>
      </c>
      <c r="M171" s="260">
        <v>19.507864999999999</v>
      </c>
      <c r="N171" s="260">
        <v>19.537012999999998</v>
      </c>
      <c r="O171" s="260">
        <v>19.565853000000001</v>
      </c>
      <c r="P171" s="260">
        <v>19.594428000000001</v>
      </c>
      <c r="Q171" s="260">
        <v>19.622776999999999</v>
      </c>
      <c r="R171" s="260">
        <v>19.650931999999997</v>
      </c>
      <c r="S171" s="260">
        <v>19.678919999999998</v>
      </c>
      <c r="T171" s="260">
        <v>19.706761</v>
      </c>
      <c r="U171" s="260">
        <v>19.734469999999998</v>
      </c>
      <c r="V171" s="260">
        <v>19.762055999999998</v>
      </c>
      <c r="W171" s="260">
        <v>19.789521999999998</v>
      </c>
      <c r="X171" s="260">
        <v>19.816867999999999</v>
      </c>
      <c r="Y171" s="260">
        <v>19.844093999999998</v>
      </c>
      <c r="Z171" s="260">
        <v>19.871199000000001</v>
      </c>
      <c r="AA171" s="260">
        <v>19.898183</v>
      </c>
      <c r="AB171" s="260">
        <v>19.925046999999999</v>
      </c>
      <c r="AC171" s="260">
        <v>19.951789999999999</v>
      </c>
      <c r="AD171" s="260">
        <v>19.978413</v>
      </c>
      <c r="AE171" s="260">
        <v>20.004913999999999</v>
      </c>
      <c r="AF171" s="260">
        <v>20.031293999999999</v>
      </c>
      <c r="AG171" s="260">
        <v>20.057554</v>
      </c>
      <c r="AH171" s="260">
        <v>20.083691999999999</v>
      </c>
      <c r="AI171" s="260">
        <v>20.10971</v>
      </c>
      <c r="AJ171" s="260">
        <v>20.135605999999999</v>
      </c>
      <c r="AK171" s="260">
        <v>20.161380999999999</v>
      </c>
      <c r="AL171" s="260">
        <v>20.187035999999999</v>
      </c>
      <c r="AM171" s="260">
        <v>20.212568999999998</v>
      </c>
      <c r="AN171" s="260">
        <v>20.237980999999998</v>
      </c>
      <c r="AO171" s="260">
        <v>20.263272000000001</v>
      </c>
      <c r="AP171" s="260">
        <v>20.288442</v>
      </c>
      <c r="AQ171" s="260">
        <v>20.313492</v>
      </c>
      <c r="AR171" s="260">
        <v>20.338419999999999</v>
      </c>
      <c r="AS171" s="260">
        <v>20.363226999999998</v>
      </c>
      <c r="AT171" s="260">
        <v>20.387913999999999</v>
      </c>
      <c r="AU171" s="260">
        <v>20.412479999999999</v>
      </c>
      <c r="AV171" s="260">
        <v>20.436926</v>
      </c>
      <c r="AW171" s="260">
        <v>20.461251000000001</v>
      </c>
      <c r="AX171" s="260">
        <v>20.485455999999999</v>
      </c>
      <c r="AY171" s="260">
        <v>20.509540999999999</v>
      </c>
      <c r="AZ171" s="260">
        <v>20.533504999999998</v>
      </c>
      <c r="BA171" s="260">
        <v>20.557348999999999</v>
      </c>
      <c r="BB171" s="260">
        <v>20.581073999999997</v>
      </c>
      <c r="BC171" s="260">
        <v>20.604678999999997</v>
      </c>
      <c r="BD171" s="260">
        <v>20.628163999999998</v>
      </c>
      <c r="BE171" s="260">
        <v>20.651529999999998</v>
      </c>
      <c r="BF171" s="260">
        <v>20.674775999999998</v>
      </c>
      <c r="BG171" s="260">
        <v>20.697903999999998</v>
      </c>
      <c r="BH171" s="260">
        <v>20.720911999999998</v>
      </c>
      <c r="BI171" s="260">
        <v>20.743801999999999</v>
      </c>
      <c r="BJ171" s="260">
        <v>20.766573999999999</v>
      </c>
      <c r="BK171" s="260">
        <v>20.789227</v>
      </c>
      <c r="BL171" s="260">
        <v>20.811761000000001</v>
      </c>
      <c r="BM171" s="260">
        <v>20.834178999999999</v>
      </c>
      <c r="BN171" s="260">
        <v>20.856477999999999</v>
      </c>
      <c r="BO171" s="260">
        <v>20.87866</v>
      </c>
      <c r="BP171" s="260">
        <v>20.900724</v>
      </c>
      <c r="BQ171" s="260">
        <v>20.922671999999999</v>
      </c>
      <c r="BR171" s="260">
        <v>20.944502999999997</v>
      </c>
      <c r="BS171" s="260">
        <v>20.966217999999998</v>
      </c>
      <c r="BT171" s="260">
        <v>20.987815999999999</v>
      </c>
      <c r="BU171" s="260">
        <v>21.009297999999998</v>
      </c>
      <c r="BV171" s="260">
        <v>21.030664999999999</v>
      </c>
      <c r="BW171" s="260">
        <v>21.051915999999999</v>
      </c>
      <c r="BX171" s="260">
        <v>21.073052000000001</v>
      </c>
      <c r="BY171" s="260">
        <v>21.094072999999998</v>
      </c>
      <c r="BZ171" s="260">
        <v>21.114979999999999</v>
      </c>
      <c r="CA171" s="260">
        <v>21.135771999999999</v>
      </c>
      <c r="CB171" s="260">
        <v>21.156451000000001</v>
      </c>
      <c r="CC171" s="260">
        <v>21.177015000000001</v>
      </c>
      <c r="CD171" s="260">
        <v>21.197467</v>
      </c>
      <c r="CE171" s="260">
        <v>21.217804999999998</v>
      </c>
      <c r="CF171" s="260">
        <v>21.238030999999999</v>
      </c>
      <c r="CG171" s="260">
        <v>21.258143999999998</v>
      </c>
      <c r="CH171" s="260">
        <v>21.278144999999999</v>
      </c>
    </row>
    <row r="172" spans="1:86" x14ac:dyDescent="0.25">
      <c r="A172" s="170">
        <v>2</v>
      </c>
      <c r="B172" s="170">
        <v>61</v>
      </c>
      <c r="C172" s="259">
        <v>18.836809158325195</v>
      </c>
      <c r="D172" s="259">
        <v>18.886873245239258</v>
      </c>
      <c r="E172" s="259">
        <v>18.936372756958008</v>
      </c>
      <c r="F172" s="259">
        <v>18.985311508178711</v>
      </c>
      <c r="G172" s="259">
        <v>19.033697128295898</v>
      </c>
      <c r="H172" s="259">
        <v>19.081531524658203</v>
      </c>
      <c r="I172" s="260">
        <v>18.981642999999998</v>
      </c>
      <c r="J172" s="260">
        <v>19.013441999999998</v>
      </c>
      <c r="K172" s="260">
        <v>19.044667</v>
      </c>
      <c r="L172" s="260">
        <v>19.075386999999999</v>
      </c>
      <c r="M172" s="260">
        <v>19.105667</v>
      </c>
      <c r="N172" s="260">
        <v>19.135565</v>
      </c>
      <c r="O172" s="260">
        <v>19.165136</v>
      </c>
      <c r="P172" s="260">
        <v>19.194426</v>
      </c>
      <c r="Q172" s="260">
        <v>19.223478</v>
      </c>
      <c r="R172" s="260">
        <v>19.252326</v>
      </c>
      <c r="S172" s="260">
        <v>19.281002000000001</v>
      </c>
      <c r="T172" s="260">
        <v>19.309526999999999</v>
      </c>
      <c r="U172" s="260">
        <v>19.337917999999998</v>
      </c>
      <c r="V172" s="260">
        <v>19.366184000000001</v>
      </c>
      <c r="W172" s="260">
        <v>19.394328999999999</v>
      </c>
      <c r="X172" s="260">
        <v>19.422352999999998</v>
      </c>
      <c r="Y172" s="260">
        <v>19.450253999999997</v>
      </c>
      <c r="Z172" s="260">
        <v>19.478033999999997</v>
      </c>
      <c r="AA172" s="260">
        <v>19.505692</v>
      </c>
      <c r="AB172" s="260">
        <v>19.533227999999998</v>
      </c>
      <c r="AC172" s="260">
        <v>19.560641999999998</v>
      </c>
      <c r="AD172" s="260">
        <v>19.587933</v>
      </c>
      <c r="AE172" s="260">
        <v>19.615102</v>
      </c>
      <c r="AF172" s="260">
        <v>19.642147999999999</v>
      </c>
      <c r="AG172" s="260">
        <v>19.669072</v>
      </c>
      <c r="AH172" s="260">
        <v>19.695874</v>
      </c>
      <c r="AI172" s="260">
        <v>19.722552</v>
      </c>
      <c r="AJ172" s="260">
        <v>19.749109000000001</v>
      </c>
      <c r="AK172" s="260">
        <v>19.775541999999998</v>
      </c>
      <c r="AL172" s="260">
        <v>19.801852</v>
      </c>
      <c r="AM172" s="260">
        <v>19.828039999999998</v>
      </c>
      <c r="AN172" s="260">
        <v>19.854105000000001</v>
      </c>
      <c r="AO172" s="260">
        <v>19.880047999999999</v>
      </c>
      <c r="AP172" s="260">
        <v>19.905867000000001</v>
      </c>
      <c r="AQ172" s="260">
        <v>19.931563999999998</v>
      </c>
      <c r="AR172" s="260">
        <v>19.957138999999998</v>
      </c>
      <c r="AS172" s="260">
        <v>19.982589999999998</v>
      </c>
      <c r="AT172" s="260">
        <v>20.007919999999999</v>
      </c>
      <c r="AU172" s="260">
        <v>20.033125999999999</v>
      </c>
      <c r="AV172" s="260">
        <v>20.058209999999999</v>
      </c>
      <c r="AW172" s="260">
        <v>20.083171999999998</v>
      </c>
      <c r="AX172" s="260">
        <v>20.108011999999999</v>
      </c>
      <c r="AY172" s="260">
        <v>20.132728999999998</v>
      </c>
      <c r="AZ172" s="260">
        <v>20.157323999999999</v>
      </c>
      <c r="BA172" s="260">
        <v>20.181798000000001</v>
      </c>
      <c r="BB172" s="260">
        <v>20.206149</v>
      </c>
      <c r="BC172" s="260">
        <v>20.230378999999999</v>
      </c>
      <c r="BD172" s="260">
        <v>20.254486999999997</v>
      </c>
      <c r="BE172" s="260">
        <v>20.278473999999999</v>
      </c>
      <c r="BF172" s="260">
        <v>20.302339</v>
      </c>
      <c r="BG172" s="260">
        <v>20.326083999999998</v>
      </c>
      <c r="BH172" s="260">
        <v>20.349706999999999</v>
      </c>
      <c r="BI172" s="260">
        <v>20.37321</v>
      </c>
      <c r="BJ172" s="260">
        <v>20.396591999999998</v>
      </c>
      <c r="BK172" s="260">
        <v>20.419853</v>
      </c>
      <c r="BL172" s="260">
        <v>20.442995</v>
      </c>
      <c r="BM172" s="260">
        <v>20.466016</v>
      </c>
      <c r="BN172" s="260">
        <v>20.488917000000001</v>
      </c>
      <c r="BO172" s="260">
        <v>20.511699</v>
      </c>
      <c r="BP172" s="260">
        <v>20.534361999999998</v>
      </c>
      <c r="BQ172" s="260">
        <v>20.556905</v>
      </c>
      <c r="BR172" s="260">
        <v>20.579329999999999</v>
      </c>
      <c r="BS172" s="260">
        <v>20.601635999999999</v>
      </c>
      <c r="BT172" s="260">
        <v>20.623822999999998</v>
      </c>
      <c r="BU172" s="260">
        <v>20.645892</v>
      </c>
      <c r="BV172" s="260">
        <v>20.667842999999998</v>
      </c>
      <c r="BW172" s="260">
        <v>20.689677</v>
      </c>
      <c r="BX172" s="260">
        <v>20.711392999999997</v>
      </c>
      <c r="BY172" s="260">
        <v>20.732991999999999</v>
      </c>
      <c r="BZ172" s="260">
        <v>20.754474999999999</v>
      </c>
      <c r="CA172" s="260">
        <v>20.775839999999999</v>
      </c>
      <c r="CB172" s="260">
        <v>20.797090000000001</v>
      </c>
      <c r="CC172" s="260">
        <v>20.818223</v>
      </c>
      <c r="CD172" s="260">
        <v>20.839240999999998</v>
      </c>
      <c r="CE172" s="260">
        <v>20.860143999999998</v>
      </c>
      <c r="CF172" s="260">
        <v>20.880931999999998</v>
      </c>
      <c r="CG172" s="260">
        <v>20.901605</v>
      </c>
      <c r="CH172" s="260">
        <v>20.922162999999998</v>
      </c>
    </row>
    <row r="173" spans="1:86" x14ac:dyDescent="0.25">
      <c r="A173" s="170">
        <v>2</v>
      </c>
      <c r="B173" s="170">
        <v>62</v>
      </c>
      <c r="C173" s="259">
        <v>18.418182373046875</v>
      </c>
      <c r="D173" s="259">
        <v>18.469215393066406</v>
      </c>
      <c r="E173" s="259">
        <v>18.519683837890625</v>
      </c>
      <c r="F173" s="259">
        <v>18.569587707519531</v>
      </c>
      <c r="G173" s="259">
        <v>18.618932723999023</v>
      </c>
      <c r="H173" s="259">
        <v>18.667724609375</v>
      </c>
      <c r="I173" s="260">
        <v>18.566918999999999</v>
      </c>
      <c r="J173" s="260">
        <v>18.599605999999998</v>
      </c>
      <c r="K173" s="260">
        <v>18.631674999999998</v>
      </c>
      <c r="L173" s="260">
        <v>18.663201999999998</v>
      </c>
      <c r="M173" s="260">
        <v>18.694255999999999</v>
      </c>
      <c r="N173" s="260">
        <v>18.724902999999998</v>
      </c>
      <c r="O173" s="260">
        <v>18.755199999999999</v>
      </c>
      <c r="P173" s="260">
        <v>18.785198999999999</v>
      </c>
      <c r="Q173" s="260">
        <v>18.814947999999998</v>
      </c>
      <c r="R173" s="260">
        <v>18.844483999999998</v>
      </c>
      <c r="S173" s="260">
        <v>18.873839999999998</v>
      </c>
      <c r="T173" s="260">
        <v>18.903040999999998</v>
      </c>
      <c r="U173" s="260">
        <v>18.932105999999997</v>
      </c>
      <c r="V173" s="260">
        <v>18.961044999999999</v>
      </c>
      <c r="W173" s="260">
        <v>18.989861999999999</v>
      </c>
      <c r="X173" s="260">
        <v>19.018554999999999</v>
      </c>
      <c r="Y173" s="260">
        <v>19.047125999999999</v>
      </c>
      <c r="Z173" s="260">
        <v>19.075574</v>
      </c>
      <c r="AA173" s="260">
        <v>19.103898999999998</v>
      </c>
      <c r="AB173" s="260">
        <v>19.132099999999998</v>
      </c>
      <c r="AC173" s="260">
        <v>19.160177999999998</v>
      </c>
      <c r="AD173" s="260">
        <v>19.188132</v>
      </c>
      <c r="AE173" s="260">
        <v>19.215962999999999</v>
      </c>
      <c r="AF173" s="260">
        <v>19.243669999999998</v>
      </c>
      <c r="AG173" s="260">
        <v>19.271252999999998</v>
      </c>
      <c r="AH173" s="260">
        <v>19.298711000000001</v>
      </c>
      <c r="AI173" s="260">
        <v>19.326045999999998</v>
      </c>
      <c r="AJ173" s="260">
        <v>19.353256999999999</v>
      </c>
      <c r="AK173" s="260">
        <v>19.380343</v>
      </c>
      <c r="AL173" s="260">
        <v>19.407304999999997</v>
      </c>
      <c r="AM173" s="260">
        <v>19.434142999999999</v>
      </c>
      <c r="AN173" s="260">
        <v>19.460857000000001</v>
      </c>
      <c r="AO173" s="260">
        <v>19.487445999999998</v>
      </c>
      <c r="AP173" s="260">
        <v>19.513911</v>
      </c>
      <c r="AQ173" s="260">
        <v>19.540251999999999</v>
      </c>
      <c r="AR173" s="260">
        <v>19.566468</v>
      </c>
      <c r="AS173" s="260">
        <v>19.592559999999999</v>
      </c>
      <c r="AT173" s="260">
        <v>19.618527999999998</v>
      </c>
      <c r="AU173" s="260">
        <v>19.644371</v>
      </c>
      <c r="AV173" s="260">
        <v>19.670090999999999</v>
      </c>
      <c r="AW173" s="260">
        <v>19.695685999999998</v>
      </c>
      <c r="AX173" s="260">
        <v>19.721156999999998</v>
      </c>
      <c r="AY173" s="260">
        <v>19.746503999999998</v>
      </c>
      <c r="AZ173" s="260">
        <v>19.771728</v>
      </c>
      <c r="BA173" s="260">
        <v>19.796827</v>
      </c>
      <c r="BB173" s="260">
        <v>19.821802999999999</v>
      </c>
      <c r="BC173" s="260">
        <v>19.846654999999998</v>
      </c>
      <c r="BD173" s="260">
        <v>19.871383999999999</v>
      </c>
      <c r="BE173" s="260">
        <v>19.895989999999998</v>
      </c>
      <c r="BF173" s="260">
        <v>19.920472</v>
      </c>
      <c r="BG173" s="260">
        <v>19.944831000000001</v>
      </c>
      <c r="BH173" s="260">
        <v>19.969066999999999</v>
      </c>
      <c r="BI173" s="260">
        <v>19.993181</v>
      </c>
      <c r="BJ173" s="260">
        <v>20.017171999999999</v>
      </c>
      <c r="BK173" s="260">
        <v>20.041039999999999</v>
      </c>
      <c r="BL173" s="260">
        <v>20.064786999999999</v>
      </c>
      <c r="BM173" s="260">
        <v>20.088411000000001</v>
      </c>
      <c r="BN173" s="260">
        <v>20.111912999999998</v>
      </c>
      <c r="BO173" s="260">
        <v>20.135293999999998</v>
      </c>
      <c r="BP173" s="260">
        <v>20.158552999999998</v>
      </c>
      <c r="BQ173" s="260">
        <v>20.181691999999998</v>
      </c>
      <c r="BR173" s="260">
        <v>20.204708999999998</v>
      </c>
      <c r="BS173" s="260">
        <v>20.227605000000001</v>
      </c>
      <c r="BT173" s="260">
        <v>20.250381000000001</v>
      </c>
      <c r="BU173" s="260">
        <v>20.273035999999998</v>
      </c>
      <c r="BV173" s="260">
        <v>20.295572</v>
      </c>
      <c r="BW173" s="260">
        <v>20.317988</v>
      </c>
      <c r="BX173" s="260">
        <v>20.340284</v>
      </c>
      <c r="BY173" s="260">
        <v>20.362461</v>
      </c>
      <c r="BZ173" s="260">
        <v>20.384518999999997</v>
      </c>
      <c r="CA173" s="260">
        <v>20.406458000000001</v>
      </c>
      <c r="CB173" s="260">
        <v>20.428279</v>
      </c>
      <c r="CC173" s="260">
        <v>20.449980999999998</v>
      </c>
      <c r="CD173" s="260">
        <v>20.471565999999999</v>
      </c>
      <c r="CE173" s="260">
        <v>20.493033</v>
      </c>
      <c r="CF173" s="260">
        <v>20.514382999999999</v>
      </c>
      <c r="CG173" s="260">
        <v>20.535616999999998</v>
      </c>
      <c r="CH173" s="260">
        <v>20.556732999999998</v>
      </c>
    </row>
    <row r="174" spans="1:86" x14ac:dyDescent="0.25">
      <c r="A174" s="170">
        <v>2</v>
      </c>
      <c r="B174" s="170">
        <v>63</v>
      </c>
      <c r="C174" s="259">
        <v>17.988826751708984</v>
      </c>
      <c r="D174" s="259">
        <v>18.040811538696289</v>
      </c>
      <c r="E174" s="259">
        <v>18.092227935791016</v>
      </c>
      <c r="F174" s="259">
        <v>18.14307975769043</v>
      </c>
      <c r="G174" s="259">
        <v>18.193368911743164</v>
      </c>
      <c r="H174" s="259">
        <v>18.243099212646484</v>
      </c>
      <c r="I174" s="260">
        <v>18.143308999999999</v>
      </c>
      <c r="J174" s="260">
        <v>18.176888999999999</v>
      </c>
      <c r="K174" s="260">
        <v>18.209804999999999</v>
      </c>
      <c r="L174" s="260">
        <v>18.242137</v>
      </c>
      <c r="M174" s="260">
        <v>18.273961</v>
      </c>
      <c r="N174" s="260">
        <v>18.305349</v>
      </c>
      <c r="O174" s="260">
        <v>18.336364</v>
      </c>
      <c r="P174" s="260">
        <v>18.367063999999999</v>
      </c>
      <c r="Q174" s="260">
        <v>18.397497999999999</v>
      </c>
      <c r="R174" s="260">
        <v>18.427709999999998</v>
      </c>
      <c r="S174" s="260">
        <v>18.457735</v>
      </c>
      <c r="T174" s="260">
        <v>18.487600999999998</v>
      </c>
      <c r="U174" s="260">
        <v>18.517327999999999</v>
      </c>
      <c r="V174" s="260">
        <v>18.546927</v>
      </c>
      <c r="W174" s="260">
        <v>18.576402999999999</v>
      </c>
      <c r="X174" s="260">
        <v>18.605754999999998</v>
      </c>
      <c r="Y174" s="260">
        <v>18.634983999999999</v>
      </c>
      <c r="Z174" s="260">
        <v>18.664088</v>
      </c>
      <c r="AA174" s="260">
        <v>18.693068999999998</v>
      </c>
      <c r="AB174" s="260">
        <v>18.721924999999999</v>
      </c>
      <c r="AC174" s="260">
        <v>18.750655999999999</v>
      </c>
      <c r="AD174" s="260">
        <v>18.779263</v>
      </c>
      <c r="AE174" s="260">
        <v>18.807745000000001</v>
      </c>
      <c r="AF174" s="260">
        <v>18.836102</v>
      </c>
      <c r="AG174" s="260">
        <v>18.864332999999998</v>
      </c>
      <c r="AH174" s="260">
        <v>18.892440000000001</v>
      </c>
      <c r="AI174" s="260">
        <v>18.920420999999997</v>
      </c>
      <c r="AJ174" s="260">
        <v>18.948276999999997</v>
      </c>
      <c r="AK174" s="260">
        <v>18.976006999999999</v>
      </c>
      <c r="AL174" s="260">
        <v>19.003612</v>
      </c>
      <c r="AM174" s="260">
        <v>19.031091</v>
      </c>
      <c r="AN174" s="260">
        <v>19.058444999999999</v>
      </c>
      <c r="AO174" s="260">
        <v>19.085671999999999</v>
      </c>
      <c r="AP174" s="260">
        <v>19.112773999999998</v>
      </c>
      <c r="AQ174" s="260">
        <v>19.139749999999999</v>
      </c>
      <c r="AR174" s="260">
        <v>19.166601</v>
      </c>
      <c r="AS174" s="260">
        <v>19.193324999999998</v>
      </c>
      <c r="AT174" s="260">
        <v>19.219923999999999</v>
      </c>
      <c r="AU174" s="260">
        <v>19.246396999999998</v>
      </c>
      <c r="AV174" s="260">
        <v>19.272743999999999</v>
      </c>
      <c r="AW174" s="260">
        <v>19.298966</v>
      </c>
      <c r="AX174" s="260">
        <v>19.325061999999999</v>
      </c>
      <c r="AY174" s="260">
        <v>19.351032</v>
      </c>
      <c r="AZ174" s="260">
        <v>19.376877</v>
      </c>
      <c r="BA174" s="260">
        <v>19.402595999999999</v>
      </c>
      <c r="BB174" s="260">
        <v>19.428190000000001</v>
      </c>
      <c r="BC174" s="260">
        <v>19.453658000000001</v>
      </c>
      <c r="BD174" s="260">
        <v>19.479001999999998</v>
      </c>
      <c r="BE174" s="260">
        <v>19.50422</v>
      </c>
      <c r="BF174" s="260">
        <v>19.529312999999998</v>
      </c>
      <c r="BG174" s="260">
        <v>19.554282000000001</v>
      </c>
      <c r="BH174" s="260">
        <v>19.579124999999998</v>
      </c>
      <c r="BI174" s="260">
        <v>19.603845</v>
      </c>
      <c r="BJ174" s="260">
        <v>19.628439</v>
      </c>
      <c r="BK174" s="260">
        <v>19.652909999999999</v>
      </c>
      <c r="BL174" s="260">
        <v>19.677256</v>
      </c>
      <c r="BM174" s="260">
        <v>19.701478999999999</v>
      </c>
      <c r="BN174" s="260">
        <v>19.725576999999998</v>
      </c>
      <c r="BO174" s="260">
        <v>19.749552999999999</v>
      </c>
      <c r="BP174" s="260">
        <v>19.773403999999999</v>
      </c>
      <c r="BQ174" s="260">
        <v>19.797132999999999</v>
      </c>
      <c r="BR174" s="260">
        <v>19.820739</v>
      </c>
      <c r="BS174" s="260">
        <v>19.844220999999997</v>
      </c>
      <c r="BT174" s="260">
        <v>19.867581999999999</v>
      </c>
      <c r="BU174" s="260">
        <v>19.890819999999998</v>
      </c>
      <c r="BV174" s="260">
        <v>19.913936</v>
      </c>
      <c r="BW174" s="260">
        <v>19.93693</v>
      </c>
      <c r="BX174" s="260">
        <v>19.959803000000001</v>
      </c>
      <c r="BY174" s="260">
        <v>19.982554</v>
      </c>
      <c r="BZ174" s="260">
        <v>20.005184999999997</v>
      </c>
      <c r="CA174" s="260">
        <v>20.027694</v>
      </c>
      <c r="CB174" s="260">
        <v>20.050083000000001</v>
      </c>
      <c r="CC174" s="260">
        <v>20.072351999999999</v>
      </c>
      <c r="CD174" s="260">
        <v>20.094500999999998</v>
      </c>
      <c r="CE174" s="260">
        <v>20.116530999999998</v>
      </c>
      <c r="CF174" s="260">
        <v>20.138439999999999</v>
      </c>
      <c r="CG174" s="260">
        <v>20.160231</v>
      </c>
      <c r="CH174" s="260">
        <v>20.181903999999999</v>
      </c>
    </row>
    <row r="175" spans="1:86" x14ac:dyDescent="0.25">
      <c r="A175" s="170">
        <v>2</v>
      </c>
      <c r="B175" s="170">
        <v>64</v>
      </c>
      <c r="C175" s="259">
        <v>17.550737380981445</v>
      </c>
      <c r="D175" s="259">
        <v>17.603614807128906</v>
      </c>
      <c r="E175" s="259">
        <v>17.655921936035156</v>
      </c>
      <c r="F175" s="259">
        <v>17.707660675048828</v>
      </c>
      <c r="G175" s="259">
        <v>17.75883674621582</v>
      </c>
      <c r="H175" s="259">
        <v>17.809452056884766</v>
      </c>
      <c r="I175" s="260">
        <v>17.712917999999998</v>
      </c>
      <c r="J175" s="260">
        <v>17.747361999999999</v>
      </c>
      <c r="K175" s="260">
        <v>17.781095000000001</v>
      </c>
      <c r="L175" s="260">
        <v>17.814201999999998</v>
      </c>
      <c r="M175" s="260">
        <v>17.846765999999999</v>
      </c>
      <c r="N175" s="260">
        <v>17.878862999999999</v>
      </c>
      <c r="O175" s="260">
        <v>17.910564000000001</v>
      </c>
      <c r="P175" s="260">
        <v>17.941931999999998</v>
      </c>
      <c r="Q175" s="260">
        <v>17.973019999999998</v>
      </c>
      <c r="R175" s="260">
        <v>18.003875999999998</v>
      </c>
      <c r="S175" s="260">
        <v>18.034538999999999</v>
      </c>
      <c r="T175" s="260">
        <v>18.065038999999999</v>
      </c>
      <c r="U175" s="260">
        <v>18.095397999999999</v>
      </c>
      <c r="V175" s="260">
        <v>18.125627999999999</v>
      </c>
      <c r="W175" s="260">
        <v>18.155733999999999</v>
      </c>
      <c r="X175" s="260">
        <v>18.185715999999999</v>
      </c>
      <c r="Y175" s="260">
        <v>18.215574</v>
      </c>
      <c r="Z175" s="260">
        <v>18.245307</v>
      </c>
      <c r="AA175" s="260">
        <v>18.274915</v>
      </c>
      <c r="AB175" s="260">
        <v>18.304397999999999</v>
      </c>
      <c r="AC175" s="260">
        <v>18.333755999999997</v>
      </c>
      <c r="AD175" s="260">
        <v>18.362987999999998</v>
      </c>
      <c r="AE175" s="260">
        <v>18.392094</v>
      </c>
      <c r="AF175" s="260">
        <v>18.421074999999998</v>
      </c>
      <c r="AG175" s="260">
        <v>18.449929999999998</v>
      </c>
      <c r="AH175" s="260">
        <v>18.478657999999999</v>
      </c>
      <c r="AI175" s="260">
        <v>18.507261</v>
      </c>
      <c r="AJ175" s="260">
        <v>18.535736999999997</v>
      </c>
      <c r="AK175" s="260">
        <v>18.564086</v>
      </c>
      <c r="AL175" s="260">
        <v>18.592309</v>
      </c>
      <c r="AM175" s="260">
        <v>18.620404999999998</v>
      </c>
      <c r="AN175" s="260">
        <v>18.648374</v>
      </c>
      <c r="AO175" s="260">
        <v>18.676216999999998</v>
      </c>
      <c r="AP175" s="260">
        <v>18.703931999999998</v>
      </c>
      <c r="AQ175" s="260">
        <v>18.731521000000001</v>
      </c>
      <c r="AR175" s="260">
        <v>18.758982</v>
      </c>
      <c r="AS175" s="260">
        <v>18.786317</v>
      </c>
      <c r="AT175" s="260">
        <v>18.813523999999997</v>
      </c>
      <c r="AU175" s="260">
        <v>18.840605</v>
      </c>
      <c r="AV175" s="260">
        <v>18.867557999999999</v>
      </c>
      <c r="AW175" s="260">
        <v>18.894385</v>
      </c>
      <c r="AX175" s="260">
        <v>18.921084</v>
      </c>
      <c r="AY175" s="260">
        <v>18.947657</v>
      </c>
      <c r="AZ175" s="260">
        <v>18.974101999999998</v>
      </c>
      <c r="BA175" s="260">
        <v>19.000420999999999</v>
      </c>
      <c r="BB175" s="260">
        <v>19.026612</v>
      </c>
      <c r="BC175" s="260">
        <v>19.052676999999999</v>
      </c>
      <c r="BD175" s="260">
        <v>19.078616</v>
      </c>
      <c r="BE175" s="260">
        <v>19.104426999999998</v>
      </c>
      <c r="BF175" s="260">
        <v>19.130112999999998</v>
      </c>
      <c r="BG175" s="260">
        <v>19.155671999999999</v>
      </c>
      <c r="BH175" s="260">
        <v>19.181103999999998</v>
      </c>
      <c r="BI175" s="260">
        <v>19.206410999999999</v>
      </c>
      <c r="BJ175" s="260">
        <v>19.231590999999998</v>
      </c>
      <c r="BK175" s="260">
        <v>19.256644999999999</v>
      </c>
      <c r="BL175" s="260">
        <v>19.281573999999999</v>
      </c>
      <c r="BM175" s="260">
        <v>19.306376999999998</v>
      </c>
      <c r="BN175" s="260">
        <v>19.331054999999999</v>
      </c>
      <c r="BO175" s="260">
        <v>19.355608</v>
      </c>
      <c r="BP175" s="260">
        <v>19.380034999999999</v>
      </c>
      <c r="BQ175" s="260">
        <v>19.404337999999999</v>
      </c>
      <c r="BR175" s="260">
        <v>19.428515000000001</v>
      </c>
      <c r="BS175" s="260">
        <v>19.452569</v>
      </c>
      <c r="BT175" s="260">
        <v>19.476497999999999</v>
      </c>
      <c r="BU175" s="260">
        <v>19.500302999999999</v>
      </c>
      <c r="BV175" s="260">
        <v>19.523983999999999</v>
      </c>
      <c r="BW175" s="260">
        <v>19.547542</v>
      </c>
      <c r="BX175" s="260">
        <v>19.570975999999998</v>
      </c>
      <c r="BY175" s="260">
        <v>19.594286999999998</v>
      </c>
      <c r="BZ175" s="260">
        <v>19.617474999999999</v>
      </c>
      <c r="CA175" s="260">
        <v>19.640540999999999</v>
      </c>
      <c r="CB175" s="260">
        <v>19.663484</v>
      </c>
      <c r="CC175" s="260">
        <v>19.686305000000001</v>
      </c>
      <c r="CD175" s="260">
        <v>19.709004</v>
      </c>
      <c r="CE175" s="260">
        <v>19.731582</v>
      </c>
      <c r="CF175" s="260">
        <v>19.754037999999998</v>
      </c>
      <c r="CG175" s="260">
        <v>19.776374000000001</v>
      </c>
      <c r="CH175" s="260">
        <v>19.798589</v>
      </c>
    </row>
    <row r="176" spans="1:86" x14ac:dyDescent="0.25">
      <c r="A176" s="170">
        <v>2</v>
      </c>
      <c r="B176" s="170">
        <v>65</v>
      </c>
      <c r="C176" s="259">
        <v>17.105316162109375</v>
      </c>
      <c r="D176" s="259">
        <v>17.158994674682617</v>
      </c>
      <c r="E176" s="259">
        <v>17.212100982666016</v>
      </c>
      <c r="F176" s="259">
        <v>17.264640808105469</v>
      </c>
      <c r="G176" s="259">
        <v>17.316617965698242</v>
      </c>
      <c r="H176" s="259">
        <v>17.368036270141602</v>
      </c>
      <c r="I176" s="260">
        <v>17.275039</v>
      </c>
      <c r="J176" s="260">
        <v>17.310333</v>
      </c>
      <c r="K176" s="260">
        <v>17.344864999999999</v>
      </c>
      <c r="L176" s="260">
        <v>17.378727999999999</v>
      </c>
      <c r="M176" s="260">
        <v>17.412009999999999</v>
      </c>
      <c r="N176" s="260">
        <v>17.444793999999998</v>
      </c>
      <c r="O176" s="260">
        <v>17.477156000000001</v>
      </c>
      <c r="P176" s="260">
        <v>17.509164999999999</v>
      </c>
      <c r="Q176" s="260">
        <v>17.540880999999999</v>
      </c>
      <c r="R176" s="260">
        <v>17.572354999999998</v>
      </c>
      <c r="S176" s="260">
        <v>17.603628</v>
      </c>
      <c r="T176" s="260">
        <v>17.634734999999999</v>
      </c>
      <c r="U176" s="260">
        <v>17.665699</v>
      </c>
      <c r="V176" s="260">
        <v>17.696534</v>
      </c>
      <c r="W176" s="260">
        <v>17.727243999999999</v>
      </c>
      <c r="X176" s="260">
        <v>17.757829999999998</v>
      </c>
      <c r="Y176" s="260">
        <v>17.788291999999998</v>
      </c>
      <c r="Z176" s="260">
        <v>17.818628</v>
      </c>
      <c r="AA176" s="260">
        <v>17.848838999999998</v>
      </c>
      <c r="AB176" s="260">
        <v>17.878924999999999</v>
      </c>
      <c r="AC176" s="260">
        <v>17.908884999999998</v>
      </c>
      <c r="AD176" s="260">
        <v>17.938718999999999</v>
      </c>
      <c r="AE176" s="260">
        <v>17.968426000000001</v>
      </c>
      <c r="AF176" s="260">
        <v>17.998006999999998</v>
      </c>
      <c r="AG176" s="260">
        <v>18.027462</v>
      </c>
      <c r="AH176" s="260">
        <v>18.056789999999999</v>
      </c>
      <c r="AI176" s="260">
        <v>18.085991</v>
      </c>
      <c r="AJ176" s="260">
        <v>18.115064</v>
      </c>
      <c r="AK176" s="260">
        <v>18.144010999999999</v>
      </c>
      <c r="AL176" s="260">
        <v>18.172829999999998</v>
      </c>
      <c r="AM176" s="260">
        <v>18.201522000000001</v>
      </c>
      <c r="AN176" s="260">
        <v>18.230084999999999</v>
      </c>
      <c r="AO176" s="260">
        <v>18.258521999999999</v>
      </c>
      <c r="AP176" s="260">
        <v>18.286829999999998</v>
      </c>
      <c r="AQ176" s="260">
        <v>18.315010999999998</v>
      </c>
      <c r="AR176" s="260">
        <v>18.343063999999998</v>
      </c>
      <c r="AS176" s="260">
        <v>18.370988000000001</v>
      </c>
      <c r="AT176" s="260">
        <v>18.398785</v>
      </c>
      <c r="AU176" s="260">
        <v>18.426452999999999</v>
      </c>
      <c r="AV176" s="260">
        <v>18.453993999999998</v>
      </c>
      <c r="AW176" s="260">
        <v>18.481406</v>
      </c>
      <c r="AX176" s="260">
        <v>18.508689999999998</v>
      </c>
      <c r="AY176" s="260">
        <v>18.535845999999999</v>
      </c>
      <c r="AZ176" s="260">
        <v>18.562874000000001</v>
      </c>
      <c r="BA176" s="260">
        <v>18.589773999999998</v>
      </c>
      <c r="BB176" s="260">
        <v>18.616546</v>
      </c>
      <c r="BC176" s="260">
        <v>18.643190000000001</v>
      </c>
      <c r="BD176" s="260">
        <v>18.669705999999998</v>
      </c>
      <c r="BE176" s="260">
        <v>18.696093999999999</v>
      </c>
      <c r="BF176" s="260">
        <v>18.722355</v>
      </c>
      <c r="BG176" s="260">
        <v>18.748487000000001</v>
      </c>
      <c r="BH176" s="260">
        <v>18.774491999999999</v>
      </c>
      <c r="BI176" s="260">
        <v>18.800370000000001</v>
      </c>
      <c r="BJ176" s="260">
        <v>18.82612</v>
      </c>
      <c r="BK176" s="260">
        <v>18.851741999999998</v>
      </c>
      <c r="BL176" s="260">
        <v>18.877237999999998</v>
      </c>
      <c r="BM176" s="260">
        <v>18.902605999999999</v>
      </c>
      <c r="BN176" s="260">
        <v>18.927848000000001</v>
      </c>
      <c r="BO176" s="260">
        <v>18.952963</v>
      </c>
      <c r="BP176" s="260">
        <v>18.977951000000001</v>
      </c>
      <c r="BQ176" s="260">
        <v>19.002813</v>
      </c>
      <c r="BR176" s="260">
        <v>19.027549</v>
      </c>
      <c r="BS176" s="260">
        <v>19.052159</v>
      </c>
      <c r="BT176" s="260">
        <v>19.076643000000001</v>
      </c>
      <c r="BU176" s="260">
        <v>19.101001</v>
      </c>
      <c r="BV176" s="260">
        <v>19.125233999999999</v>
      </c>
      <c r="BW176" s="260">
        <v>19.149341</v>
      </c>
      <c r="BX176" s="260">
        <v>19.173323999999997</v>
      </c>
      <c r="BY176" s="260">
        <v>19.197181999999998</v>
      </c>
      <c r="BZ176" s="260">
        <v>19.220914999999998</v>
      </c>
      <c r="CA176" s="260">
        <v>19.244523999999998</v>
      </c>
      <c r="CB176" s="260">
        <v>19.268007999999998</v>
      </c>
      <c r="CC176" s="260">
        <v>19.291369</v>
      </c>
      <c r="CD176" s="260">
        <v>19.314606999999999</v>
      </c>
      <c r="CE176" s="260">
        <v>19.337720999999998</v>
      </c>
      <c r="CF176" s="260">
        <v>19.360713000000001</v>
      </c>
      <c r="CG176" s="260">
        <v>19.383581</v>
      </c>
      <c r="CH176" s="260">
        <v>19.406326999999997</v>
      </c>
    </row>
    <row r="177" spans="1:86" x14ac:dyDescent="0.25">
      <c r="A177" s="170">
        <v>2</v>
      </c>
      <c r="B177" s="170">
        <v>66</v>
      </c>
      <c r="C177" s="259">
        <v>16.65321159362793</v>
      </c>
      <c r="D177" s="259">
        <v>16.707572937011719</v>
      </c>
      <c r="E177" s="259">
        <v>16.76136589050293</v>
      </c>
      <c r="F177" s="259">
        <v>16.814594268798828</v>
      </c>
      <c r="G177" s="259">
        <v>16.86726188659668</v>
      </c>
      <c r="H177" s="259">
        <v>16.919374465942383</v>
      </c>
      <c r="I177" s="260">
        <v>16.829499999999999</v>
      </c>
      <c r="J177" s="260">
        <v>16.865632999999999</v>
      </c>
      <c r="K177" s="260">
        <v>16.900949999999998</v>
      </c>
      <c r="L177" s="260">
        <v>16.935551</v>
      </c>
      <c r="M177" s="260">
        <v>16.969532000000001</v>
      </c>
      <c r="N177" s="260">
        <v>17.002981999999999</v>
      </c>
      <c r="O177" s="260">
        <v>17.035982999999998</v>
      </c>
      <c r="P177" s="260">
        <v>17.068608999999999</v>
      </c>
      <c r="Q177" s="260">
        <v>17.100925999999998</v>
      </c>
      <c r="R177" s="260">
        <v>17.132988999999998</v>
      </c>
      <c r="S177" s="260">
        <v>17.164846999999998</v>
      </c>
      <c r="T177" s="260">
        <v>17.196532999999999</v>
      </c>
      <c r="U177" s="260">
        <v>17.228075</v>
      </c>
      <c r="V177" s="260">
        <v>17.259487999999997</v>
      </c>
      <c r="W177" s="260">
        <v>17.290775999999997</v>
      </c>
      <c r="X177" s="260">
        <v>17.321939999999998</v>
      </c>
      <c r="Y177" s="260">
        <v>17.352979999999999</v>
      </c>
      <c r="Z177" s="260">
        <v>17.383893999999998</v>
      </c>
      <c r="AA177" s="260">
        <v>17.414683</v>
      </c>
      <c r="AB177" s="260">
        <v>17.445346000000001</v>
      </c>
      <c r="AC177" s="260">
        <v>17.475883</v>
      </c>
      <c r="AD177" s="260">
        <v>17.506294</v>
      </c>
      <c r="AE177" s="260">
        <v>17.536577999999999</v>
      </c>
      <c r="AF177" s="260">
        <v>17.566735999999999</v>
      </c>
      <c r="AG177" s="260">
        <v>17.596765999999999</v>
      </c>
      <c r="AH177" s="260">
        <v>17.626670000000001</v>
      </c>
      <c r="AI177" s="260">
        <v>17.656445999999999</v>
      </c>
      <c r="AJ177" s="260">
        <v>17.686094999999998</v>
      </c>
      <c r="AK177" s="260">
        <v>17.715616000000001</v>
      </c>
      <c r="AL177" s="260">
        <v>17.745009</v>
      </c>
      <c r="AM177" s="260">
        <v>17.774273999999998</v>
      </c>
      <c r="AN177" s="260">
        <v>17.80341</v>
      </c>
      <c r="AO177" s="260">
        <v>17.832418999999998</v>
      </c>
      <c r="AP177" s="260">
        <v>17.861298999999999</v>
      </c>
      <c r="AQ177" s="260">
        <v>17.890049999999999</v>
      </c>
      <c r="AR177" s="260">
        <v>17.918672999999998</v>
      </c>
      <c r="AS177" s="260">
        <v>17.947167</v>
      </c>
      <c r="AT177" s="260">
        <v>17.975532999999999</v>
      </c>
      <c r="AU177" s="260">
        <v>18.003768999999998</v>
      </c>
      <c r="AV177" s="260">
        <v>18.031876999999998</v>
      </c>
      <c r="AW177" s="260">
        <v>18.059854999999999</v>
      </c>
      <c r="AX177" s="260">
        <v>18.087705</v>
      </c>
      <c r="AY177" s="260">
        <v>18.115425999999999</v>
      </c>
      <c r="AZ177" s="260">
        <v>18.143017</v>
      </c>
      <c r="BA177" s="260">
        <v>18.170479999999998</v>
      </c>
      <c r="BB177" s="260">
        <v>18.197813</v>
      </c>
      <c r="BC177" s="260">
        <v>18.225017999999999</v>
      </c>
      <c r="BD177" s="260">
        <v>18.252092999999999</v>
      </c>
      <c r="BE177" s="260">
        <v>18.279039999999998</v>
      </c>
      <c r="BF177" s="260">
        <v>18.305858000000001</v>
      </c>
      <c r="BG177" s="260">
        <v>18.332546999999998</v>
      </c>
      <c r="BH177" s="260">
        <v>18.359106999999998</v>
      </c>
      <c r="BI177" s="260">
        <v>18.385538999999998</v>
      </c>
      <c r="BJ177" s="260">
        <v>18.411842</v>
      </c>
      <c r="BK177" s="260">
        <v>18.438015999999998</v>
      </c>
      <c r="BL177" s="260">
        <v>18.464061999999998</v>
      </c>
      <c r="BM177" s="260">
        <v>18.489979999999999</v>
      </c>
      <c r="BN177" s="260">
        <v>18.51577</v>
      </c>
      <c r="BO177" s="260">
        <v>18.541432</v>
      </c>
      <c r="BP177" s="260">
        <v>18.566965</v>
      </c>
      <c r="BQ177" s="260">
        <v>18.592371999999997</v>
      </c>
      <c r="BR177" s="260">
        <v>18.617649999999998</v>
      </c>
      <c r="BS177" s="260">
        <v>18.642800999999999</v>
      </c>
      <c r="BT177" s="260">
        <v>18.667825000000001</v>
      </c>
      <c r="BU177" s="260">
        <v>18.692722</v>
      </c>
      <c r="BV177" s="260">
        <v>18.717492</v>
      </c>
      <c r="BW177" s="260">
        <v>18.742135999999999</v>
      </c>
      <c r="BX177" s="260">
        <v>18.766652999999998</v>
      </c>
      <c r="BY177" s="260">
        <v>18.791043999999999</v>
      </c>
      <c r="BZ177" s="260">
        <v>18.815307999999998</v>
      </c>
      <c r="CA177" s="260">
        <v>18.839447</v>
      </c>
      <c r="CB177" s="260">
        <v>18.863461000000001</v>
      </c>
      <c r="CC177" s="260">
        <v>18.887349</v>
      </c>
      <c r="CD177" s="260">
        <v>18.911111999999999</v>
      </c>
      <c r="CE177" s="260">
        <v>18.934749999999998</v>
      </c>
      <c r="CF177" s="260">
        <v>18.958264</v>
      </c>
      <c r="CG177" s="260">
        <v>18.981652999999998</v>
      </c>
      <c r="CH177" s="260">
        <v>19.004918</v>
      </c>
    </row>
    <row r="178" spans="1:86" x14ac:dyDescent="0.25">
      <c r="A178" s="170">
        <v>2</v>
      </c>
      <c r="B178" s="170">
        <v>67</v>
      </c>
      <c r="C178" s="259">
        <v>16.194353103637695</v>
      </c>
      <c r="D178" s="259">
        <v>16.249286651611328</v>
      </c>
      <c r="E178" s="259">
        <v>16.303655624389648</v>
      </c>
      <c r="F178" s="259">
        <v>16.357463836669922</v>
      </c>
      <c r="G178" s="259">
        <v>16.410717010498047</v>
      </c>
      <c r="H178" s="259">
        <v>16.463415145874023</v>
      </c>
      <c r="I178" s="260">
        <v>16.376121999999999</v>
      </c>
      <c r="J178" s="260">
        <v>16.413084999999999</v>
      </c>
      <c r="K178" s="260">
        <v>16.449175999999998</v>
      </c>
      <c r="L178" s="260">
        <v>16.484501999999999</v>
      </c>
      <c r="M178" s="260">
        <v>16.519165000000001</v>
      </c>
      <c r="N178" s="260">
        <v>16.553260999999999</v>
      </c>
      <c r="O178" s="260">
        <v>16.586879</v>
      </c>
      <c r="P178" s="260">
        <v>16.620097999999999</v>
      </c>
      <c r="Q178" s="260">
        <v>16.652991999999998</v>
      </c>
      <c r="R178" s="260">
        <v>16.68562</v>
      </c>
      <c r="S178" s="260">
        <v>16.718032999999998</v>
      </c>
      <c r="T178" s="260">
        <v>16.750271999999999</v>
      </c>
      <c r="U178" s="260">
        <v>16.782363999999998</v>
      </c>
      <c r="V178" s="260">
        <v>16.814328</v>
      </c>
      <c r="W178" s="260">
        <v>16.846166999999998</v>
      </c>
      <c r="X178" s="260">
        <v>16.877882</v>
      </c>
      <c r="Y178" s="260">
        <v>16.909472999999998</v>
      </c>
      <c r="Z178" s="260">
        <v>16.940939</v>
      </c>
      <c r="AA178" s="260">
        <v>16.972279</v>
      </c>
      <c r="AB178" s="260">
        <v>17.003494</v>
      </c>
      <c r="AC178" s="260">
        <v>17.034582999999998</v>
      </c>
      <c r="AD178" s="260">
        <v>17.065545999999998</v>
      </c>
      <c r="AE178" s="260">
        <v>17.096381999999998</v>
      </c>
      <c r="AF178" s="260">
        <v>17.127091999999998</v>
      </c>
      <c r="AG178" s="260">
        <v>17.157674</v>
      </c>
      <c r="AH178" s="260">
        <v>17.188129</v>
      </c>
      <c r="AI178" s="260">
        <v>17.218457000000001</v>
      </c>
      <c r="AJ178" s="260">
        <v>17.248656999999998</v>
      </c>
      <c r="AK178" s="260">
        <v>17.278728999999998</v>
      </c>
      <c r="AL178" s="260">
        <v>17.308672999999999</v>
      </c>
      <c r="AM178" s="260">
        <v>17.338488999999999</v>
      </c>
      <c r="AN178" s="260">
        <v>17.368175999999998</v>
      </c>
      <c r="AO178" s="260">
        <v>17.397734</v>
      </c>
      <c r="AP178" s="260">
        <v>17.427163999999998</v>
      </c>
      <c r="AQ178" s="260">
        <v>17.456464</v>
      </c>
      <c r="AR178" s="260">
        <v>17.485636</v>
      </c>
      <c r="AS178" s="260">
        <v>17.514678</v>
      </c>
      <c r="AT178" s="260">
        <v>17.543590999999999</v>
      </c>
      <c r="AU178" s="260">
        <v>17.572375000000001</v>
      </c>
      <c r="AV178" s="260">
        <v>17.601029</v>
      </c>
      <c r="AW178" s="260">
        <v>17.629553999999999</v>
      </c>
      <c r="AX178" s="260">
        <v>17.657948999999999</v>
      </c>
      <c r="AY178" s="260">
        <v>17.686214</v>
      </c>
      <c r="AZ178" s="260">
        <v>17.714348999999999</v>
      </c>
      <c r="BA178" s="260">
        <v>17.742355</v>
      </c>
      <c r="BB178" s="260">
        <v>17.770230999999999</v>
      </c>
      <c r="BC178" s="260">
        <v>17.797976999999999</v>
      </c>
      <c r="BD178" s="260">
        <v>17.825593999999999</v>
      </c>
      <c r="BE178" s="260">
        <v>17.853081</v>
      </c>
      <c r="BF178" s="260">
        <v>17.880437999999998</v>
      </c>
      <c r="BG178" s="260">
        <v>17.907664999999998</v>
      </c>
      <c r="BH178" s="260">
        <v>17.934763</v>
      </c>
      <c r="BI178" s="260">
        <v>17.961731</v>
      </c>
      <c r="BJ178" s="260">
        <v>17.988568999999998</v>
      </c>
      <c r="BK178" s="260">
        <v>18.015277999999999</v>
      </c>
      <c r="BL178" s="260">
        <v>18.041857999999998</v>
      </c>
      <c r="BM178" s="260">
        <v>18.068308999999999</v>
      </c>
      <c r="BN178" s="260">
        <v>18.094629999999999</v>
      </c>
      <c r="BO178" s="260">
        <v>18.120822</v>
      </c>
      <c r="BP178" s="260">
        <v>18.146884999999997</v>
      </c>
      <c r="BQ178" s="260">
        <v>18.172819999999998</v>
      </c>
      <c r="BR178" s="260">
        <v>18.198625</v>
      </c>
      <c r="BS178" s="260">
        <v>18.224301999999998</v>
      </c>
      <c r="BT178" s="260">
        <v>18.249851</v>
      </c>
      <c r="BU178" s="260">
        <v>18.275271999999998</v>
      </c>
      <c r="BV178" s="260">
        <v>18.300563999999998</v>
      </c>
      <c r="BW178" s="260">
        <v>18.325728999999999</v>
      </c>
      <c r="BX178" s="260">
        <v>18.350764999999999</v>
      </c>
      <c r="BY178" s="260">
        <v>18.375674999999998</v>
      </c>
      <c r="BZ178" s="260">
        <v>18.400456999999999</v>
      </c>
      <c r="CA178" s="260">
        <v>18.425111999999999</v>
      </c>
      <c r="CB178" s="260">
        <v>18.449639999999999</v>
      </c>
      <c r="CC178" s="260">
        <v>18.474041</v>
      </c>
      <c r="CD178" s="260">
        <v>18.498315999999999</v>
      </c>
      <c r="CE178" s="260">
        <v>18.522465</v>
      </c>
      <c r="CF178" s="260">
        <v>18.546488</v>
      </c>
      <c r="CG178" s="260">
        <v>18.570384999999998</v>
      </c>
      <c r="CH178" s="260">
        <v>18.594156999999999</v>
      </c>
    </row>
    <row r="179" spans="1:86" x14ac:dyDescent="0.25">
      <c r="A179" s="170">
        <v>2</v>
      </c>
      <c r="B179" s="170">
        <v>68</v>
      </c>
      <c r="C179" s="259">
        <v>15.72834587097168</v>
      </c>
      <c r="D179" s="259">
        <v>15.783740043640137</v>
      </c>
      <c r="E179" s="259">
        <v>15.838576316833496</v>
      </c>
      <c r="F179" s="259">
        <v>15.89285945892334</v>
      </c>
      <c r="G179" s="259">
        <v>15.946591377258301</v>
      </c>
      <c r="H179" s="259">
        <v>15.999775886535645</v>
      </c>
      <c r="I179" s="260">
        <v>15.915427999999999</v>
      </c>
      <c r="J179" s="260">
        <v>15.953203999999999</v>
      </c>
      <c r="K179" s="260">
        <v>15.990048999999999</v>
      </c>
      <c r="L179" s="260">
        <v>16.026077999999998</v>
      </c>
      <c r="M179" s="260">
        <v>16.061399999999999</v>
      </c>
      <c r="N179" s="260">
        <v>16.096115999999999</v>
      </c>
      <c r="O179" s="260">
        <v>16.130323999999998</v>
      </c>
      <c r="P179" s="260">
        <v>16.164107999999999</v>
      </c>
      <c r="Q179" s="260">
        <v>16.197547</v>
      </c>
      <c r="R179" s="260">
        <v>16.230706999999999</v>
      </c>
      <c r="S179" s="260">
        <v>16.263645</v>
      </c>
      <c r="T179" s="260">
        <v>16.296402999999998</v>
      </c>
      <c r="U179" s="260">
        <v>16.329013</v>
      </c>
      <c r="V179" s="260">
        <v>16.361494</v>
      </c>
      <c r="W179" s="260">
        <v>16.393851999999999</v>
      </c>
      <c r="X179" s="260">
        <v>16.426086999999999</v>
      </c>
      <c r="Y179" s="260">
        <v>16.458196999999998</v>
      </c>
      <c r="Z179" s="260">
        <v>16.490182999999998</v>
      </c>
      <c r="AA179" s="260">
        <v>16.522043999999998</v>
      </c>
      <c r="AB179" s="260">
        <v>16.553778999999999</v>
      </c>
      <c r="AC179" s="260">
        <v>16.58539</v>
      </c>
      <c r="AD179" s="260">
        <v>16.616873999999999</v>
      </c>
      <c r="AE179" s="260">
        <v>16.648232</v>
      </c>
      <c r="AF179" s="260">
        <v>16.679463999999999</v>
      </c>
      <c r="AG179" s="260">
        <v>16.710569</v>
      </c>
      <c r="AH179" s="260">
        <v>16.741547000000001</v>
      </c>
      <c r="AI179" s="260">
        <v>16.772396999999998</v>
      </c>
      <c r="AJ179" s="260">
        <v>16.80312</v>
      </c>
      <c r="AK179" s="260">
        <v>16.833714999999998</v>
      </c>
      <c r="AL179" s="260">
        <v>16.864182</v>
      </c>
      <c r="AM179" s="260">
        <v>16.89452</v>
      </c>
      <c r="AN179" s="260">
        <v>16.92473</v>
      </c>
      <c r="AO179" s="260">
        <v>16.954810999999999</v>
      </c>
      <c r="AP179" s="260">
        <v>16.984763999999998</v>
      </c>
      <c r="AQ179" s="260">
        <v>17.014586999999999</v>
      </c>
      <c r="AR179" s="260">
        <v>17.044280000000001</v>
      </c>
      <c r="AS179" s="260">
        <v>17.073844999999999</v>
      </c>
      <c r="AT179" s="260">
        <v>17.103279999999998</v>
      </c>
      <c r="AU179" s="260">
        <v>17.132584999999999</v>
      </c>
      <c r="AV179" s="260">
        <v>17.161759999999997</v>
      </c>
      <c r="AW179" s="260">
        <v>17.190805999999998</v>
      </c>
      <c r="AX179" s="260">
        <v>17.219721</v>
      </c>
      <c r="AY179" s="260">
        <v>17.248505999999999</v>
      </c>
      <c r="AZ179" s="260">
        <v>17.277162000000001</v>
      </c>
      <c r="BA179" s="260">
        <v>17.305686999999999</v>
      </c>
      <c r="BB179" s="260">
        <v>17.334080999999998</v>
      </c>
      <c r="BC179" s="260">
        <v>17.362345999999999</v>
      </c>
      <c r="BD179" s="260">
        <v>17.39048</v>
      </c>
      <c r="BE179" s="260">
        <v>17.418483999999999</v>
      </c>
      <c r="BF179" s="260">
        <v>17.446356999999999</v>
      </c>
      <c r="BG179" s="260">
        <v>17.4741</v>
      </c>
      <c r="BH179" s="260">
        <v>17.501712999999999</v>
      </c>
      <c r="BI179" s="260">
        <v>17.529194999999998</v>
      </c>
      <c r="BJ179" s="260">
        <v>17.556547999999999</v>
      </c>
      <c r="BK179" s="260">
        <v>17.583769999999998</v>
      </c>
      <c r="BL179" s="260">
        <v>17.610862000000001</v>
      </c>
      <c r="BM179" s="260">
        <v>17.637823999999998</v>
      </c>
      <c r="BN179" s="260">
        <v>17.664655</v>
      </c>
      <c r="BO179" s="260">
        <v>17.691357</v>
      </c>
      <c r="BP179" s="260">
        <v>17.717928999999998</v>
      </c>
      <c r="BQ179" s="260">
        <v>17.744371999999998</v>
      </c>
      <c r="BR179" s="260">
        <v>17.770685</v>
      </c>
      <c r="BS179" s="260">
        <v>17.796868</v>
      </c>
      <c r="BT179" s="260">
        <v>17.822921999999998</v>
      </c>
      <c r="BU179" s="260">
        <v>17.848846999999999</v>
      </c>
      <c r="BV179" s="260">
        <v>17.874641999999998</v>
      </c>
      <c r="BW179" s="260">
        <v>17.900309</v>
      </c>
      <c r="BX179" s="260">
        <v>17.925846999999997</v>
      </c>
      <c r="BY179" s="260">
        <v>17.951256999999998</v>
      </c>
      <c r="BZ179" s="260">
        <v>17.976537999999998</v>
      </c>
      <c r="CA179" s="260">
        <v>18.001690999999997</v>
      </c>
      <c r="CB179" s="260">
        <v>18.026716</v>
      </c>
      <c r="CC179" s="260">
        <v>18.051613</v>
      </c>
      <c r="CD179" s="260">
        <v>18.076383</v>
      </c>
      <c r="CE179" s="260">
        <v>18.101025</v>
      </c>
      <c r="CF179" s="260">
        <v>18.125540000000001</v>
      </c>
      <c r="CG179" s="260">
        <v>18.149927999999999</v>
      </c>
      <c r="CH179" s="260">
        <v>18.174189999999999</v>
      </c>
    </row>
    <row r="180" spans="1:86" x14ac:dyDescent="0.25">
      <c r="A180" s="170">
        <v>2</v>
      </c>
      <c r="B180" s="170">
        <v>69</v>
      </c>
      <c r="C180" s="259">
        <v>15.254291534423828</v>
      </c>
      <c r="D180" s="259">
        <v>15.310047149658203</v>
      </c>
      <c r="E180" s="259">
        <v>15.365251541137695</v>
      </c>
      <c r="F180" s="259">
        <v>15.41991138458252</v>
      </c>
      <c r="G180" s="259">
        <v>15.474026679992676</v>
      </c>
      <c r="H180" s="259">
        <v>15.527603149414063</v>
      </c>
      <c r="I180" s="260">
        <v>15.448309</v>
      </c>
      <c r="J180" s="260">
        <v>15.486865</v>
      </c>
      <c r="K180" s="260">
        <v>15.524431999999999</v>
      </c>
      <c r="L180" s="260">
        <v>15.561128999999999</v>
      </c>
      <c r="M180" s="260">
        <v>15.597073</v>
      </c>
      <c r="N180" s="260">
        <v>15.632372999999999</v>
      </c>
      <c r="O180" s="260">
        <v>15.667131999999999</v>
      </c>
      <c r="P180" s="260">
        <v>15.701442999999999</v>
      </c>
      <c r="Q180" s="260">
        <v>15.735389</v>
      </c>
      <c r="R180" s="260">
        <v>15.769041999999999</v>
      </c>
      <c r="S180" s="260">
        <v>15.802462999999999</v>
      </c>
      <c r="T180" s="260">
        <v>15.835699999999999</v>
      </c>
      <c r="U180" s="260">
        <v>15.868786999999999</v>
      </c>
      <c r="V180" s="260">
        <v>15.901745999999999</v>
      </c>
      <c r="W180" s="260">
        <v>15.934581999999999</v>
      </c>
      <c r="X180" s="260">
        <v>15.967295</v>
      </c>
      <c r="Y180" s="260">
        <v>15.999886</v>
      </c>
      <c r="Z180" s="260">
        <v>16.032353000000001</v>
      </c>
      <c r="AA180" s="260">
        <v>16.064695</v>
      </c>
      <c r="AB180" s="260">
        <v>16.096913999999998</v>
      </c>
      <c r="AC180" s="260">
        <v>16.129006999999998</v>
      </c>
      <c r="AD180" s="260">
        <v>16.160975000000001</v>
      </c>
      <c r="AE180" s="260">
        <v>16.192817999999999</v>
      </c>
      <c r="AF180" s="260">
        <v>16.224534999999999</v>
      </c>
      <c r="AG180" s="260">
        <v>16.256125000000001</v>
      </c>
      <c r="AH180" s="260">
        <v>16.287589000000001</v>
      </c>
      <c r="AI180" s="260">
        <v>16.318925999999998</v>
      </c>
      <c r="AJ180" s="260">
        <v>16.350135999999999</v>
      </c>
      <c r="AK180" s="260">
        <v>16.381218000000001</v>
      </c>
      <c r="AL180" s="260">
        <v>16.412171999999998</v>
      </c>
      <c r="AM180" s="260">
        <v>16.442999</v>
      </c>
      <c r="AN180" s="260">
        <v>16.473696999999998</v>
      </c>
      <c r="AO180" s="260">
        <v>16.504266999999999</v>
      </c>
      <c r="AP180" s="260">
        <v>16.534707000000001</v>
      </c>
      <c r="AQ180" s="260">
        <v>16.565018999999999</v>
      </c>
      <c r="AR180" s="260">
        <v>16.595202</v>
      </c>
      <c r="AS180" s="260">
        <v>16.625254999999999</v>
      </c>
      <c r="AT180" s="260">
        <v>16.655179</v>
      </c>
      <c r="AU180" s="260">
        <v>16.684974</v>
      </c>
      <c r="AV180" s="260">
        <v>16.714638000000001</v>
      </c>
      <c r="AW180" s="260">
        <v>16.744171999999999</v>
      </c>
      <c r="AX180" s="260">
        <v>16.773577</v>
      </c>
      <c r="AY180" s="260">
        <v>16.802851</v>
      </c>
      <c r="AZ180" s="260">
        <v>16.831994999999999</v>
      </c>
      <c r="BA180" s="260">
        <v>16.861007999999998</v>
      </c>
      <c r="BB180" s="260">
        <v>16.889890999999999</v>
      </c>
      <c r="BC180" s="260">
        <v>16.918644</v>
      </c>
      <c r="BD180" s="260">
        <v>16.947265999999999</v>
      </c>
      <c r="BE180" s="260">
        <v>16.975756999999998</v>
      </c>
      <c r="BF180" s="260">
        <v>17.004117999999998</v>
      </c>
      <c r="BG180" s="260">
        <v>17.032346999999998</v>
      </c>
      <c r="BH180" s="260">
        <v>17.060447</v>
      </c>
      <c r="BI180" s="260">
        <v>17.088414999999998</v>
      </c>
      <c r="BJ180" s="260">
        <v>17.116253</v>
      </c>
      <c r="BK180" s="260">
        <v>17.14396</v>
      </c>
      <c r="BL180" s="260">
        <v>17.171537000000001</v>
      </c>
      <c r="BM180" s="260">
        <v>17.198982999999998</v>
      </c>
      <c r="BN180" s="260">
        <v>17.226298</v>
      </c>
      <c r="BO180" s="260">
        <v>17.253482999999999</v>
      </c>
      <c r="BP180" s="260">
        <v>17.280536999999999</v>
      </c>
      <c r="BQ180" s="260">
        <v>17.307461</v>
      </c>
      <c r="BR180" s="260">
        <v>17.334254999999999</v>
      </c>
      <c r="BS180" s="260">
        <v>17.360918999999999</v>
      </c>
      <c r="BT180" s="260">
        <v>17.387453000000001</v>
      </c>
      <c r="BU180" s="260">
        <v>17.413857</v>
      </c>
      <c r="BV180" s="260">
        <v>17.440131000000001</v>
      </c>
      <c r="BW180" s="260">
        <v>17.466275</v>
      </c>
      <c r="BX180" s="260">
        <v>17.492290000000001</v>
      </c>
      <c r="BY180" s="260">
        <v>17.518174999999999</v>
      </c>
      <c r="BZ180" s="260">
        <v>17.543931000000001</v>
      </c>
      <c r="CA180" s="260">
        <v>17.569558999999998</v>
      </c>
      <c r="CB180" s="260">
        <v>17.595057000000001</v>
      </c>
      <c r="CC180" s="260">
        <v>17.620426999999999</v>
      </c>
      <c r="CD180" s="260">
        <v>17.645668000000001</v>
      </c>
      <c r="CE180" s="260">
        <v>17.670780999999998</v>
      </c>
      <c r="CF180" s="260">
        <v>17.695765999999999</v>
      </c>
      <c r="CG180" s="260">
        <v>17.720623</v>
      </c>
      <c r="CH180" s="260">
        <v>17.745352</v>
      </c>
    </row>
    <row r="181" spans="1:86" x14ac:dyDescent="0.25">
      <c r="A181" s="170">
        <v>2</v>
      </c>
      <c r="B181" s="170">
        <v>70</v>
      </c>
      <c r="C181" s="259">
        <v>14.771665573120117</v>
      </c>
      <c r="D181" s="259">
        <v>14.827685356140137</v>
      </c>
      <c r="E181" s="259">
        <v>14.883164405822754</v>
      </c>
      <c r="F181" s="259">
        <v>14.938105583190918</v>
      </c>
      <c r="G181" s="259">
        <v>14.992514610290527</v>
      </c>
      <c r="H181" s="259">
        <v>15.046392440795898</v>
      </c>
      <c r="I181" s="260">
        <v>14.975950999999998</v>
      </c>
      <c r="J181" s="260">
        <v>15.015234</v>
      </c>
      <c r="K181" s="260">
        <v>15.053469999999999</v>
      </c>
      <c r="L181" s="260">
        <v>15.090783999999999</v>
      </c>
      <c r="M181" s="260">
        <v>15.127298999999999</v>
      </c>
      <c r="N181" s="260">
        <v>15.163131</v>
      </c>
      <c r="O181" s="260">
        <v>15.198388999999999</v>
      </c>
      <c r="P181" s="260">
        <v>15.233174999999999</v>
      </c>
      <c r="Q181" s="260">
        <v>15.267576</v>
      </c>
      <c r="R181" s="260">
        <v>15.301670999999999</v>
      </c>
      <c r="S181" s="260">
        <v>15.335524999999999</v>
      </c>
      <c r="T181" s="260">
        <v>15.36919</v>
      </c>
      <c r="U181" s="260">
        <v>15.402704999999999</v>
      </c>
      <c r="V181" s="260">
        <v>15.43609</v>
      </c>
      <c r="W181" s="260">
        <v>15.469354999999998</v>
      </c>
      <c r="X181" s="260">
        <v>15.502498999999998</v>
      </c>
      <c r="Y181" s="260">
        <v>15.53552</v>
      </c>
      <c r="Z181" s="260">
        <v>15.56842</v>
      </c>
      <c r="AA181" s="260">
        <v>15.601196</v>
      </c>
      <c r="AB181" s="260">
        <v>15.633849</v>
      </c>
      <c r="AC181" s="260">
        <v>15.666378</v>
      </c>
      <c r="AD181" s="260">
        <v>15.698782999999999</v>
      </c>
      <c r="AE181" s="260">
        <v>15.731064</v>
      </c>
      <c r="AF181" s="260">
        <v>15.763218999999999</v>
      </c>
      <c r="AG181" s="260">
        <v>15.795249999999999</v>
      </c>
      <c r="AH181" s="260">
        <v>15.827154</v>
      </c>
      <c r="AI181" s="260">
        <v>15.858931999999999</v>
      </c>
      <c r="AJ181" s="260">
        <v>15.890583999999999</v>
      </c>
      <c r="AK181" s="260">
        <v>15.922108999999999</v>
      </c>
      <c r="AL181" s="260">
        <v>15.953507</v>
      </c>
      <c r="AM181" s="260">
        <v>15.984777999999999</v>
      </c>
      <c r="AN181" s="260">
        <v>16.015920999999999</v>
      </c>
      <c r="AO181" s="260">
        <v>16.046935999999999</v>
      </c>
      <c r="AP181" s="260">
        <v>16.077822999999999</v>
      </c>
      <c r="AQ181" s="260">
        <v>16.108581000000001</v>
      </c>
      <c r="AR181" s="260">
        <v>16.139211</v>
      </c>
      <c r="AS181" s="260">
        <v>16.169712000000001</v>
      </c>
      <c r="AT181" s="260">
        <v>16.200082999999999</v>
      </c>
      <c r="AU181" s="260">
        <v>16.230325999999998</v>
      </c>
      <c r="AV181" s="260">
        <v>16.260438999999998</v>
      </c>
      <c r="AW181" s="260">
        <v>16.290422</v>
      </c>
      <c r="AX181" s="260">
        <v>16.320274999999999</v>
      </c>
      <c r="AY181" s="260">
        <v>16.349999</v>
      </c>
      <c r="AZ181" s="260">
        <v>16.379591999999999</v>
      </c>
      <c r="BA181" s="260">
        <v>16.409054999999999</v>
      </c>
      <c r="BB181" s="260">
        <v>16.438388</v>
      </c>
      <c r="BC181" s="260">
        <v>16.467589999999998</v>
      </c>
      <c r="BD181" s="260">
        <v>16.496662000000001</v>
      </c>
      <c r="BE181" s="260">
        <v>16.525603</v>
      </c>
      <c r="BF181" s="260">
        <v>16.554413999999998</v>
      </c>
      <c r="BG181" s="260">
        <v>16.583092999999998</v>
      </c>
      <c r="BH181" s="260">
        <v>16.611642</v>
      </c>
      <c r="BI181" s="260">
        <v>16.640060999999999</v>
      </c>
      <c r="BJ181" s="260">
        <v>16.668347999999998</v>
      </c>
      <c r="BK181" s="260">
        <v>16.696504999999998</v>
      </c>
      <c r="BL181" s="260">
        <v>16.724529999999998</v>
      </c>
      <c r="BM181" s="260">
        <v>16.752424999999999</v>
      </c>
      <c r="BN181" s="260">
        <v>16.780189999999997</v>
      </c>
      <c r="BO181" s="260">
        <v>16.807822999999999</v>
      </c>
      <c r="BP181" s="260">
        <v>16.835325999999998</v>
      </c>
      <c r="BQ181" s="260">
        <v>16.862697999999998</v>
      </c>
      <c r="BR181" s="260">
        <v>16.889939999999999</v>
      </c>
      <c r="BS181" s="260">
        <v>16.917051000000001</v>
      </c>
      <c r="BT181" s="260">
        <v>16.944030999999999</v>
      </c>
      <c r="BU181" s="260">
        <v>16.970882</v>
      </c>
      <c r="BV181" s="260">
        <v>16.997602000000001</v>
      </c>
      <c r="BW181" s="260">
        <v>17.024190999999998</v>
      </c>
      <c r="BX181" s="260">
        <v>17.050650999999998</v>
      </c>
      <c r="BY181" s="260">
        <v>17.076981</v>
      </c>
      <c r="BZ181" s="260">
        <v>17.103182</v>
      </c>
      <c r="CA181" s="260">
        <v>17.129252999999999</v>
      </c>
      <c r="CB181" s="260">
        <v>17.155193999999998</v>
      </c>
      <c r="CC181" s="260">
        <v>17.181006</v>
      </c>
      <c r="CD181" s="260">
        <v>17.206689000000001</v>
      </c>
      <c r="CE181" s="260">
        <v>17.232243</v>
      </c>
      <c r="CF181" s="260">
        <v>17.257667999999999</v>
      </c>
      <c r="CG181" s="260">
        <v>17.282965000000001</v>
      </c>
      <c r="CH181" s="260">
        <v>17.308133999999999</v>
      </c>
    </row>
    <row r="182" spans="1:86" x14ac:dyDescent="0.25">
      <c r="A182" s="170">
        <v>2</v>
      </c>
      <c r="B182" s="170">
        <v>71</v>
      </c>
      <c r="C182" s="259">
        <v>14.280307769775391</v>
      </c>
      <c r="D182" s="259">
        <v>14.33634090423584</v>
      </c>
      <c r="E182" s="259">
        <v>14.391851425170898</v>
      </c>
      <c r="F182" s="259">
        <v>14.446841239929199</v>
      </c>
      <c r="G182" s="259">
        <v>14.501312255859375</v>
      </c>
      <c r="H182" s="259">
        <v>14.555267333984375</v>
      </c>
      <c r="I182" s="260">
        <v>14.499153999999999</v>
      </c>
      <c r="J182" s="260">
        <v>14.539095</v>
      </c>
      <c r="K182" s="260">
        <v>14.577933</v>
      </c>
      <c r="L182" s="260">
        <v>14.615798999999999</v>
      </c>
      <c r="M182" s="260">
        <v>14.652821999999999</v>
      </c>
      <c r="N182" s="260">
        <v>14.689122999999999</v>
      </c>
      <c r="O182" s="260">
        <v>14.724819999999999</v>
      </c>
      <c r="P182" s="260">
        <v>14.760019</v>
      </c>
      <c r="Q182" s="260">
        <v>14.794815</v>
      </c>
      <c r="R182" s="260">
        <v>14.829293</v>
      </c>
      <c r="S182" s="260">
        <v>14.863522</v>
      </c>
      <c r="T182" s="260">
        <v>14.897558</v>
      </c>
      <c r="U182" s="260">
        <v>14.931441999999999</v>
      </c>
      <c r="V182" s="260">
        <v>14.965199</v>
      </c>
      <c r="W182" s="260">
        <v>14.998837</v>
      </c>
      <c r="X182" s="260">
        <v>15.032354999999999</v>
      </c>
      <c r="Y182" s="260">
        <v>15.065752</v>
      </c>
      <c r="Z182" s="260">
        <v>15.099029</v>
      </c>
      <c r="AA182" s="260">
        <v>15.132183999999999</v>
      </c>
      <c r="AB182" s="260">
        <v>15.165217999999999</v>
      </c>
      <c r="AC182" s="260">
        <v>15.198129</v>
      </c>
      <c r="AD182" s="260">
        <v>15.230917999999999</v>
      </c>
      <c r="AE182" s="260">
        <v>15.263582999999999</v>
      </c>
      <c r="AF182" s="260">
        <v>15.296125</v>
      </c>
      <c r="AG182" s="260">
        <v>15.328543</v>
      </c>
      <c r="AH182" s="260">
        <v>15.360835999999999</v>
      </c>
      <c r="AI182" s="260">
        <v>15.393003999999999</v>
      </c>
      <c r="AJ182" s="260">
        <v>15.425046999999999</v>
      </c>
      <c r="AK182" s="260">
        <v>15.456963999999999</v>
      </c>
      <c r="AL182" s="260">
        <v>15.488755999999999</v>
      </c>
      <c r="AM182" s="260">
        <v>15.520420999999999</v>
      </c>
      <c r="AN182" s="260">
        <v>15.551959</v>
      </c>
      <c r="AO182" s="260">
        <v>15.583369999999999</v>
      </c>
      <c r="AP182" s="260">
        <v>15.614654</v>
      </c>
      <c r="AQ182" s="260">
        <v>15.645811</v>
      </c>
      <c r="AR182" s="260">
        <v>15.676838999999999</v>
      </c>
      <c r="AS182" s="260">
        <v>15.707739999999999</v>
      </c>
      <c r="AT182" s="260">
        <v>15.738512</v>
      </c>
      <c r="AU182" s="260">
        <v>15.769155999999999</v>
      </c>
      <c r="AV182" s="260">
        <v>15.799669999999999</v>
      </c>
      <c r="AW182" s="260">
        <v>15.830055999999999</v>
      </c>
      <c r="AX182" s="260">
        <v>15.860313</v>
      </c>
      <c r="AY182" s="260">
        <v>15.89044</v>
      </c>
      <c r="AZ182" s="260">
        <v>15.920437999999999</v>
      </c>
      <c r="BA182" s="260">
        <v>15.950305999999999</v>
      </c>
      <c r="BB182" s="260">
        <v>15.980043999999999</v>
      </c>
      <c r="BC182" s="260">
        <v>16.009651999999999</v>
      </c>
      <c r="BD182" s="260">
        <v>16.03913</v>
      </c>
      <c r="BE182" s="260">
        <v>16.068476999999998</v>
      </c>
      <c r="BF182" s="260">
        <v>16.097694999999998</v>
      </c>
      <c r="BG182" s="260">
        <v>16.126781999999999</v>
      </c>
      <c r="BH182" s="260">
        <v>16.155737999999999</v>
      </c>
      <c r="BI182" s="260">
        <v>16.184563999999998</v>
      </c>
      <c r="BJ182" s="260">
        <v>16.213259999999998</v>
      </c>
      <c r="BK182" s="260">
        <v>16.241824999999999</v>
      </c>
      <c r="BL182" s="260">
        <v>16.270258999999999</v>
      </c>
      <c r="BM182" s="260">
        <v>16.298562</v>
      </c>
      <c r="BN182" s="260">
        <v>16.326734999999999</v>
      </c>
      <c r="BO182" s="260">
        <v>16.354776999999999</v>
      </c>
      <c r="BP182" s="260">
        <v>16.382688999999999</v>
      </c>
      <c r="BQ182" s="260">
        <v>16.41047</v>
      </c>
      <c r="BR182" s="260">
        <v>16.438119999999998</v>
      </c>
      <c r="BS182" s="260">
        <v>16.46564</v>
      </c>
      <c r="BT182" s="260">
        <v>16.493029</v>
      </c>
      <c r="BU182" s="260">
        <v>16.520288000000001</v>
      </c>
      <c r="BV182" s="260">
        <v>16.547416999999999</v>
      </c>
      <c r="BW182" s="260">
        <v>16.574414999999998</v>
      </c>
      <c r="BX182" s="260">
        <v>16.601282999999999</v>
      </c>
      <c r="BY182" s="260">
        <v>16.628021</v>
      </c>
      <c r="BZ182" s="260">
        <v>16.654629</v>
      </c>
      <c r="CA182" s="260">
        <v>16.681107000000001</v>
      </c>
      <c r="CB182" s="260">
        <v>16.707456000000001</v>
      </c>
      <c r="CC182" s="260">
        <v>16.733674999999998</v>
      </c>
      <c r="CD182" s="260">
        <v>16.759764999999998</v>
      </c>
      <c r="CE182" s="260">
        <v>16.785724999999999</v>
      </c>
      <c r="CF182" s="260">
        <v>16.811556</v>
      </c>
      <c r="CG182" s="260">
        <v>16.837259</v>
      </c>
      <c r="CH182" s="260">
        <v>16.862832999999998</v>
      </c>
    </row>
    <row r="183" spans="1:86" x14ac:dyDescent="0.25">
      <c r="A183" s="170">
        <v>2</v>
      </c>
      <c r="B183" s="170">
        <v>72</v>
      </c>
      <c r="C183" s="259">
        <v>13.782546997070313</v>
      </c>
      <c r="D183" s="259">
        <v>13.838431358337402</v>
      </c>
      <c r="E183" s="259">
        <v>13.893811225891113</v>
      </c>
      <c r="F183" s="259">
        <v>13.948689460754395</v>
      </c>
      <c r="G183" s="259">
        <v>14.003067016601563</v>
      </c>
      <c r="H183" s="259">
        <v>14.056947708129883</v>
      </c>
      <c r="I183" s="260">
        <v>14.017503</v>
      </c>
      <c r="J183" s="260">
        <v>14.058033999999999</v>
      </c>
      <c r="K183" s="260">
        <v>14.097410999999999</v>
      </c>
      <c r="L183" s="260">
        <v>14.135767</v>
      </c>
      <c r="M183" s="260">
        <v>14.173235999999999</v>
      </c>
      <c r="N183" s="260">
        <v>14.209947999999999</v>
      </c>
      <c r="O183" s="260">
        <v>14.246024</v>
      </c>
      <c r="P183" s="260">
        <v>14.281578</v>
      </c>
      <c r="Q183" s="260">
        <v>14.316711999999999</v>
      </c>
      <c r="R183" s="260">
        <v>14.351516</v>
      </c>
      <c r="S183" s="260">
        <v>14.386063</v>
      </c>
      <c r="T183" s="260">
        <v>14.420415</v>
      </c>
      <c r="U183" s="260">
        <v>14.454613999999999</v>
      </c>
      <c r="V183" s="260">
        <v>14.488686999999999</v>
      </c>
      <c r="W183" s="260">
        <v>14.522642999999999</v>
      </c>
      <c r="X183" s="260">
        <v>14.556481999999999</v>
      </c>
      <c r="Y183" s="260">
        <v>14.590202</v>
      </c>
      <c r="Z183" s="260">
        <v>14.623802999999999</v>
      </c>
      <c r="AA183" s="260">
        <v>14.657285</v>
      </c>
      <c r="AB183" s="260">
        <v>14.690646999999998</v>
      </c>
      <c r="AC183" s="260">
        <v>14.723889</v>
      </c>
      <c r="AD183" s="260">
        <v>14.757009</v>
      </c>
      <c r="AE183" s="260">
        <v>14.790007999999998</v>
      </c>
      <c r="AF183" s="260">
        <v>14.822884999999999</v>
      </c>
      <c r="AG183" s="260">
        <v>14.855639</v>
      </c>
      <c r="AH183" s="260">
        <v>14.888271</v>
      </c>
      <c r="AI183" s="260">
        <v>14.920779</v>
      </c>
      <c r="AJ183" s="260">
        <v>14.953163999999999</v>
      </c>
      <c r="AK183" s="260">
        <v>14.985424</v>
      </c>
      <c r="AL183" s="260">
        <v>15.01756</v>
      </c>
      <c r="AM183" s="260">
        <v>15.049570999999998</v>
      </c>
      <c r="AN183" s="260">
        <v>15.081455999999999</v>
      </c>
      <c r="AO183" s="260">
        <v>15.113216</v>
      </c>
      <c r="AP183" s="260">
        <v>15.14485</v>
      </c>
      <c r="AQ183" s="260">
        <v>15.176356999999999</v>
      </c>
      <c r="AR183" s="260">
        <v>15.207737999999999</v>
      </c>
      <c r="AS183" s="260">
        <v>15.238992</v>
      </c>
      <c r="AT183" s="260">
        <v>15.270118</v>
      </c>
      <c r="AU183" s="260">
        <v>15.301117</v>
      </c>
      <c r="AV183" s="260">
        <v>15.331989</v>
      </c>
      <c r="AW183" s="260">
        <v>15.362731999999999</v>
      </c>
      <c r="AX183" s="260">
        <v>15.393346999999999</v>
      </c>
      <c r="AY183" s="260">
        <v>15.423833999999999</v>
      </c>
      <c r="AZ183" s="260">
        <v>15.454191</v>
      </c>
      <c r="BA183" s="260">
        <v>15.48442</v>
      </c>
      <c r="BB183" s="260">
        <v>15.514519999999999</v>
      </c>
      <c r="BC183" s="260">
        <v>15.544490999999999</v>
      </c>
      <c r="BD183" s="260">
        <v>15.574332999999999</v>
      </c>
      <c r="BE183" s="260">
        <v>15.604044</v>
      </c>
      <c r="BF183" s="260">
        <v>15.633626999999999</v>
      </c>
      <c r="BG183" s="260">
        <v>15.663079</v>
      </c>
      <c r="BH183" s="260">
        <v>15.692402</v>
      </c>
      <c r="BI183" s="260">
        <v>15.721594999999999</v>
      </c>
      <c r="BJ183" s="260">
        <v>15.750656999999999</v>
      </c>
      <c r="BK183" s="260">
        <v>15.779589999999999</v>
      </c>
      <c r="BL183" s="260">
        <v>15.808392</v>
      </c>
      <c r="BM183" s="260">
        <v>15.837064</v>
      </c>
      <c r="BN183" s="260">
        <v>15.865606</v>
      </c>
      <c r="BO183" s="260">
        <v>15.894017999999999</v>
      </c>
      <c r="BP183" s="260">
        <v>15.922298999999999</v>
      </c>
      <c r="BQ183" s="260">
        <v>15.95045</v>
      </c>
      <c r="BR183" s="260">
        <v>15.978470999999999</v>
      </c>
      <c r="BS183" s="260">
        <v>16.006361999999999</v>
      </c>
      <c r="BT183" s="260">
        <v>16.034122</v>
      </c>
      <c r="BU183" s="260">
        <v>16.061751999999998</v>
      </c>
      <c r="BV183" s="260">
        <v>16.089251999999998</v>
      </c>
      <c r="BW183" s="260">
        <v>16.116622</v>
      </c>
      <c r="BX183" s="260">
        <v>16.143861999999999</v>
      </c>
      <c r="BY183" s="260">
        <v>16.170971999999999</v>
      </c>
      <c r="BZ183" s="260">
        <v>16.197952000000001</v>
      </c>
      <c r="CA183" s="260">
        <v>16.224802</v>
      </c>
      <c r="CB183" s="260">
        <v>16.251522999999999</v>
      </c>
      <c r="CC183" s="260">
        <v>16.278113999999999</v>
      </c>
      <c r="CD183" s="260">
        <v>16.304575</v>
      </c>
      <c r="CE183" s="260">
        <v>16.330908000000001</v>
      </c>
      <c r="CF183" s="260">
        <v>16.357111</v>
      </c>
      <c r="CG183" s="260">
        <v>16.383185999999998</v>
      </c>
      <c r="CH183" s="260">
        <v>16.409130999999999</v>
      </c>
    </row>
    <row r="184" spans="1:86" x14ac:dyDescent="0.25">
      <c r="A184" s="170">
        <v>2</v>
      </c>
      <c r="B184" s="170">
        <v>73</v>
      </c>
      <c r="C184" s="259">
        <v>13.27989387512207</v>
      </c>
      <c r="D184" s="259">
        <v>13.335430145263672</v>
      </c>
      <c r="E184" s="259">
        <v>13.390484809875488</v>
      </c>
      <c r="F184" s="259">
        <v>13.445059776306152</v>
      </c>
      <c r="G184" s="259">
        <v>13.49915599822998</v>
      </c>
      <c r="H184" s="259">
        <v>13.552776336669922</v>
      </c>
      <c r="I184" s="260">
        <v>13.529686</v>
      </c>
      <c r="J184" s="260">
        <v>13.570753</v>
      </c>
      <c r="K184" s="260">
        <v>13.610619</v>
      </c>
      <c r="L184" s="260">
        <v>13.649417999999999</v>
      </c>
      <c r="M184" s="260">
        <v>13.687287999999999</v>
      </c>
      <c r="N184" s="260">
        <v>13.724364</v>
      </c>
      <c r="O184" s="260">
        <v>13.760772999999999</v>
      </c>
      <c r="P184" s="260">
        <v>13.796635999999999</v>
      </c>
      <c r="Q184" s="260">
        <v>13.832060999999999</v>
      </c>
      <c r="R184" s="260">
        <v>13.867142999999999</v>
      </c>
      <c r="S184" s="260">
        <v>13.901961999999999</v>
      </c>
      <c r="T184" s="260">
        <v>13.936582</v>
      </c>
      <c r="U184" s="260">
        <v>13.971048999999999</v>
      </c>
      <c r="V184" s="260">
        <v>14.005393</v>
      </c>
      <c r="W184" s="260">
        <v>14.039620999999999</v>
      </c>
      <c r="X184" s="260">
        <v>14.073734999999999</v>
      </c>
      <c r="Y184" s="260">
        <v>14.107731999999999</v>
      </c>
      <c r="Z184" s="260">
        <v>14.141613</v>
      </c>
      <c r="AA184" s="260">
        <v>14.175376</v>
      </c>
      <c r="AB184" s="260">
        <v>14.209021999999999</v>
      </c>
      <c r="AC184" s="260">
        <v>14.242548999999999</v>
      </c>
      <c r="AD184" s="260">
        <v>14.275957</v>
      </c>
      <c r="AE184" s="260">
        <v>14.309246</v>
      </c>
      <c r="AF184" s="260">
        <v>14.342414999999999</v>
      </c>
      <c r="AG184" s="260">
        <v>14.375463</v>
      </c>
      <c r="AH184" s="260">
        <v>14.408389999999999</v>
      </c>
      <c r="AI184" s="260">
        <v>14.441196</v>
      </c>
      <c r="AJ184" s="260">
        <v>14.473879999999999</v>
      </c>
      <c r="AK184" s="260">
        <v>14.506440999999999</v>
      </c>
      <c r="AL184" s="260">
        <v>14.538879</v>
      </c>
      <c r="AM184" s="260">
        <v>14.571194</v>
      </c>
      <c r="AN184" s="260">
        <v>14.603384999999999</v>
      </c>
      <c r="AO184" s="260">
        <v>14.635453</v>
      </c>
      <c r="AP184" s="260">
        <v>14.667394999999999</v>
      </c>
      <c r="AQ184" s="260">
        <v>14.699212999999999</v>
      </c>
      <c r="AR184" s="260">
        <v>14.730905999999999</v>
      </c>
      <c r="AS184" s="260">
        <v>14.762473</v>
      </c>
      <c r="AT184" s="260">
        <v>14.793913999999999</v>
      </c>
      <c r="AU184" s="260">
        <v>14.825229</v>
      </c>
      <c r="AV184" s="260">
        <v>14.856418</v>
      </c>
      <c r="AW184" s="260">
        <v>14.88748</v>
      </c>
      <c r="AX184" s="260">
        <v>14.918415</v>
      </c>
      <c r="AY184" s="260">
        <v>14.949221999999999</v>
      </c>
      <c r="AZ184" s="260">
        <v>14.979903</v>
      </c>
      <c r="BA184" s="260">
        <v>15.010454999999999</v>
      </c>
      <c r="BB184" s="260">
        <v>15.040878999999999</v>
      </c>
      <c r="BC184" s="260">
        <v>15.071174999999998</v>
      </c>
      <c r="BD184" s="260">
        <v>15.101343</v>
      </c>
      <c r="BE184" s="260">
        <v>15.131383</v>
      </c>
      <c r="BF184" s="260">
        <v>15.161292999999999</v>
      </c>
      <c r="BG184" s="260">
        <v>15.191075</v>
      </c>
      <c r="BH184" s="260">
        <v>15.220727999999999</v>
      </c>
      <c r="BI184" s="260">
        <v>15.250252</v>
      </c>
      <c r="BJ184" s="260">
        <v>15.279646</v>
      </c>
      <c r="BK184" s="260">
        <v>15.308911</v>
      </c>
      <c r="BL184" s="260">
        <v>15.338047</v>
      </c>
      <c r="BM184" s="260">
        <v>15.367052999999999</v>
      </c>
      <c r="BN184" s="260">
        <v>15.39593</v>
      </c>
      <c r="BO184" s="260">
        <v>15.424676999999999</v>
      </c>
      <c r="BP184" s="260">
        <v>15.453294999999999</v>
      </c>
      <c r="BQ184" s="260">
        <v>15.481781999999999</v>
      </c>
      <c r="BR184" s="260">
        <v>15.510140999999999</v>
      </c>
      <c r="BS184" s="260">
        <v>15.538368999999999</v>
      </c>
      <c r="BT184" s="260">
        <v>15.566466999999999</v>
      </c>
      <c r="BU184" s="260">
        <v>15.594436</v>
      </c>
      <c r="BV184" s="260">
        <v>15.622275</v>
      </c>
      <c r="BW184" s="260">
        <v>15.649984999999999</v>
      </c>
      <c r="BX184" s="260">
        <v>15.677565</v>
      </c>
      <c r="BY184" s="260">
        <v>15.705015</v>
      </c>
      <c r="BZ184" s="260">
        <v>15.732336</v>
      </c>
      <c r="CA184" s="260">
        <v>15.759526999999999</v>
      </c>
      <c r="CB184" s="260">
        <v>15.786588999999999</v>
      </c>
      <c r="CC184" s="260">
        <v>15.813521999999999</v>
      </c>
      <c r="CD184" s="260">
        <v>15.840325999999999</v>
      </c>
      <c r="CE184" s="260">
        <v>15.866999999999999</v>
      </c>
      <c r="CF184" s="260">
        <v>15.893545999999999</v>
      </c>
      <c r="CG184" s="260">
        <v>15.919962999999999</v>
      </c>
      <c r="CH184" s="260">
        <v>15.946250999999998</v>
      </c>
    </row>
    <row r="185" spans="1:86" x14ac:dyDescent="0.25">
      <c r="A185" s="170">
        <v>2</v>
      </c>
      <c r="B185" s="170">
        <v>74</v>
      </c>
      <c r="C185" s="259">
        <v>12.773775100708008</v>
      </c>
      <c r="D185" s="259">
        <v>12.828731536865234</v>
      </c>
      <c r="E185" s="259">
        <v>12.883233070373535</v>
      </c>
      <c r="F185" s="259">
        <v>12.937280654907227</v>
      </c>
      <c r="G185" s="259">
        <v>12.990876197814941</v>
      </c>
      <c r="H185" s="259">
        <v>13.044018745422363</v>
      </c>
      <c r="I185" s="260">
        <v>13.034913</v>
      </c>
      <c r="J185" s="260">
        <v>13.076469999999999</v>
      </c>
      <c r="K185" s="260">
        <v>13.116781</v>
      </c>
      <c r="L185" s="260">
        <v>13.155984</v>
      </c>
      <c r="M185" s="260">
        <v>13.194217999999999</v>
      </c>
      <c r="N185" s="260">
        <v>13.231619999999999</v>
      </c>
      <c r="O185" s="260">
        <v>13.268326</v>
      </c>
      <c r="P185" s="260">
        <v>13.304459</v>
      </c>
      <c r="Q185" s="260">
        <v>13.340135</v>
      </c>
      <c r="R185" s="260">
        <v>13.375454</v>
      </c>
      <c r="S185" s="260">
        <v>13.410502999999999</v>
      </c>
      <c r="T185" s="260">
        <v>13.445349999999999</v>
      </c>
      <c r="U185" s="260">
        <v>13.480043999999999</v>
      </c>
      <c r="V185" s="260">
        <v>13.514616</v>
      </c>
      <c r="W185" s="260">
        <v>13.549075999999999</v>
      </c>
      <c r="X185" s="260">
        <v>13.583423</v>
      </c>
      <c r="Y185" s="260">
        <v>13.617656</v>
      </c>
      <c r="Z185" s="260">
        <v>13.651774999999999</v>
      </c>
      <c r="AA185" s="260">
        <v>13.685779999999999</v>
      </c>
      <c r="AB185" s="260">
        <v>13.719669</v>
      </c>
      <c r="AC185" s="260">
        <v>13.753440999999999</v>
      </c>
      <c r="AD185" s="260">
        <v>13.787097999999999</v>
      </c>
      <c r="AE185" s="260">
        <v>13.820635999999999</v>
      </c>
      <c r="AF185" s="260">
        <v>13.854056999999999</v>
      </c>
      <c r="AG185" s="260">
        <v>13.887359999999999</v>
      </c>
      <c r="AH185" s="260">
        <v>13.920544</v>
      </c>
      <c r="AI185" s="260">
        <v>13.953607999999999</v>
      </c>
      <c r="AJ185" s="260">
        <v>13.986552</v>
      </c>
      <c r="AK185" s="260">
        <v>14.019375999999999</v>
      </c>
      <c r="AL185" s="260">
        <v>14.052078</v>
      </c>
      <c r="AM185" s="260">
        <v>14.08466</v>
      </c>
      <c r="AN185" s="260">
        <v>14.117118999999999</v>
      </c>
      <c r="AO185" s="260">
        <v>14.149455999999999</v>
      </c>
      <c r="AP185" s="260">
        <v>14.181671</v>
      </c>
      <c r="AQ185" s="260">
        <v>14.213761999999999</v>
      </c>
      <c r="AR185" s="260">
        <v>14.24573</v>
      </c>
      <c r="AS185" s="260">
        <v>14.277574</v>
      </c>
      <c r="AT185" s="260">
        <v>14.309292999999998</v>
      </c>
      <c r="AU185" s="260">
        <v>14.340888</v>
      </c>
      <c r="AV185" s="260">
        <v>14.372358</v>
      </c>
      <c r="AW185" s="260">
        <v>14.403703</v>
      </c>
      <c r="AX185" s="260">
        <v>14.434923</v>
      </c>
      <c r="AY185" s="260">
        <v>14.466016</v>
      </c>
      <c r="AZ185" s="260">
        <v>14.496983</v>
      </c>
      <c r="BA185" s="260">
        <v>14.527823999999999</v>
      </c>
      <c r="BB185" s="260">
        <v>14.558537999999999</v>
      </c>
      <c r="BC185" s="260">
        <v>14.589125999999998</v>
      </c>
      <c r="BD185" s="260">
        <v>14.619586</v>
      </c>
      <c r="BE185" s="260">
        <v>14.649918999999999</v>
      </c>
      <c r="BF185" s="260">
        <v>14.680123999999999</v>
      </c>
      <c r="BG185" s="260">
        <v>14.710201999999999</v>
      </c>
      <c r="BH185" s="260">
        <v>14.740152</v>
      </c>
      <c r="BI185" s="260">
        <v>14.769973999999999</v>
      </c>
      <c r="BJ185" s="260">
        <v>14.799666999999999</v>
      </c>
      <c r="BK185" s="260">
        <v>14.829232999999999</v>
      </c>
      <c r="BL185" s="260">
        <v>14.85867</v>
      </c>
      <c r="BM185" s="260">
        <v>14.887977999999999</v>
      </c>
      <c r="BN185" s="260">
        <v>14.917157999999999</v>
      </c>
      <c r="BO185" s="260">
        <v>14.946209</v>
      </c>
      <c r="BP185" s="260">
        <v>14.975130999999999</v>
      </c>
      <c r="BQ185" s="260">
        <v>15.003924</v>
      </c>
      <c r="BR185" s="260">
        <v>15.032589</v>
      </c>
      <c r="BS185" s="260">
        <v>15.061124</v>
      </c>
      <c r="BT185" s="260">
        <v>15.08953</v>
      </c>
      <c r="BU185" s="260">
        <v>15.117808</v>
      </c>
      <c r="BV185" s="260">
        <v>15.145956</v>
      </c>
      <c r="BW185" s="260">
        <v>15.173976</v>
      </c>
      <c r="BX185" s="260">
        <v>15.201865999999999</v>
      </c>
      <c r="BY185" s="260">
        <v>15.229628</v>
      </c>
      <c r="BZ185" s="260">
        <v>15.257259999999999</v>
      </c>
      <c r="CA185" s="260">
        <v>15.284763999999999</v>
      </c>
      <c r="CB185" s="260">
        <v>15.312137999999999</v>
      </c>
      <c r="CC185" s="260">
        <v>15.339383999999999</v>
      </c>
      <c r="CD185" s="260">
        <v>15.366501999999999</v>
      </c>
      <c r="CE185" s="260">
        <v>15.39349</v>
      </c>
      <c r="CF185" s="260">
        <v>15.420351</v>
      </c>
      <c r="CG185" s="260">
        <v>15.447082</v>
      </c>
      <c r="CH185" s="260">
        <v>15.473685999999999</v>
      </c>
    </row>
    <row r="186" spans="1:86" x14ac:dyDescent="0.25">
      <c r="A186" s="170">
        <v>2</v>
      </c>
      <c r="B186" s="170">
        <v>75</v>
      </c>
      <c r="C186" s="259">
        <v>12.265237808227539</v>
      </c>
      <c r="D186" s="259">
        <v>12.319356918334961</v>
      </c>
      <c r="E186" s="259">
        <v>12.373051643371582</v>
      </c>
      <c r="F186" s="259">
        <v>12.426321983337402</v>
      </c>
      <c r="G186" s="259">
        <v>12.479169845581055</v>
      </c>
      <c r="H186" s="259">
        <v>12.531595230102539</v>
      </c>
      <c r="I186" s="260">
        <v>12.533883999999999</v>
      </c>
      <c r="J186" s="260">
        <v>12.575868</v>
      </c>
      <c r="K186" s="260">
        <v>12.616569999999999</v>
      </c>
      <c r="L186" s="260">
        <v>12.656125999999999</v>
      </c>
      <c r="M186" s="260">
        <v>12.694675999999999</v>
      </c>
      <c r="N186" s="260">
        <v>12.732360999999999</v>
      </c>
      <c r="O186" s="260">
        <v>12.769318999999999</v>
      </c>
      <c r="P186" s="260">
        <v>12.805677999999999</v>
      </c>
      <c r="Q186" s="260">
        <v>12.841560999999999</v>
      </c>
      <c r="R186" s="260">
        <v>12.877072999999999</v>
      </c>
      <c r="S186" s="260">
        <v>12.912305</v>
      </c>
      <c r="T186" s="260">
        <v>12.947331</v>
      </c>
      <c r="U186" s="260">
        <v>12.982204999999999</v>
      </c>
      <c r="V186" s="260">
        <v>13.016959</v>
      </c>
      <c r="W186" s="260">
        <v>13.051603</v>
      </c>
      <c r="X186" s="260">
        <v>13.086136999999999</v>
      </c>
      <c r="Y186" s="260">
        <v>13.120559999999999</v>
      </c>
      <c r="Z186" s="260">
        <v>13.154871999999999</v>
      </c>
      <c r="AA186" s="260">
        <v>13.189071999999999</v>
      </c>
      <c r="AB186" s="260">
        <v>13.223158</v>
      </c>
      <c r="AC186" s="260">
        <v>13.257130999999999</v>
      </c>
      <c r="AD186" s="260">
        <v>13.290989999999999</v>
      </c>
      <c r="AE186" s="260">
        <v>13.324733999999999</v>
      </c>
      <c r="AF186" s="260">
        <v>13.358362999999999</v>
      </c>
      <c r="AG186" s="260">
        <v>13.391874999999999</v>
      </c>
      <c r="AH186" s="260">
        <v>13.425270999999999</v>
      </c>
      <c r="AI186" s="260">
        <v>13.458549</v>
      </c>
      <c r="AJ186" s="260">
        <v>13.491709999999999</v>
      </c>
      <c r="AK186" s="260">
        <v>13.524752999999999</v>
      </c>
      <c r="AL186" s="260">
        <v>13.557677</v>
      </c>
      <c r="AM186" s="260">
        <v>13.590480999999999</v>
      </c>
      <c r="AN186" s="260">
        <v>13.623165999999999</v>
      </c>
      <c r="AO186" s="260">
        <v>13.65573</v>
      </c>
      <c r="AP186" s="260">
        <v>13.688174</v>
      </c>
      <c r="AQ186" s="260">
        <v>13.720495999999999</v>
      </c>
      <c r="AR186" s="260">
        <v>13.752697</v>
      </c>
      <c r="AS186" s="260">
        <v>13.784775999999999</v>
      </c>
      <c r="AT186" s="260">
        <v>13.816732</v>
      </c>
      <c r="AU186" s="260">
        <v>13.848566</v>
      </c>
      <c r="AV186" s="260">
        <v>13.880275999999999</v>
      </c>
      <c r="AW186" s="260">
        <v>13.911862999999999</v>
      </c>
      <c r="AX186" s="260">
        <v>13.943325999999999</v>
      </c>
      <c r="AY186" s="260">
        <v>13.974665</v>
      </c>
      <c r="AZ186" s="260">
        <v>14.005879</v>
      </c>
      <c r="BA186" s="260">
        <v>14.036968999999999</v>
      </c>
      <c r="BB186" s="260">
        <v>14.067933</v>
      </c>
      <c r="BC186" s="260">
        <v>14.098771999999999</v>
      </c>
      <c r="BD186" s="260">
        <v>14.129484999999999</v>
      </c>
      <c r="BE186" s="260">
        <v>14.160072999999999</v>
      </c>
      <c r="BF186" s="260">
        <v>14.190534</v>
      </c>
      <c r="BG186" s="260">
        <v>14.22087</v>
      </c>
      <c r="BH186" s="260">
        <v>14.251078</v>
      </c>
      <c r="BI186" s="260">
        <v>14.28116</v>
      </c>
      <c r="BJ186" s="260">
        <v>14.311114999999999</v>
      </c>
      <c r="BK186" s="260">
        <v>14.340942999999999</v>
      </c>
      <c r="BL186" s="260">
        <v>14.370643999999999</v>
      </c>
      <c r="BM186" s="260">
        <v>14.400217</v>
      </c>
      <c r="BN186" s="260">
        <v>14.429663</v>
      </c>
      <c r="BO186" s="260">
        <v>14.458981</v>
      </c>
      <c r="BP186" s="260">
        <v>14.488171999999999</v>
      </c>
      <c r="BQ186" s="260">
        <v>14.517234999999999</v>
      </c>
      <c r="BR186" s="260">
        <v>14.546168999999999</v>
      </c>
      <c r="BS186" s="260">
        <v>14.574975999999999</v>
      </c>
      <c r="BT186" s="260">
        <v>14.603655</v>
      </c>
      <c r="BU186" s="260">
        <v>14.632206</v>
      </c>
      <c r="BV186" s="260">
        <v>14.660629</v>
      </c>
      <c r="BW186" s="260">
        <v>14.688922999999999</v>
      </c>
      <c r="BX186" s="260">
        <v>14.717089999999999</v>
      </c>
      <c r="BY186" s="260">
        <v>14.745127999999999</v>
      </c>
      <c r="BZ186" s="260">
        <v>14.773038999999999</v>
      </c>
      <c r="CA186" s="260">
        <v>14.800820999999999</v>
      </c>
      <c r="CB186" s="260">
        <v>14.828474999999999</v>
      </c>
      <c r="CC186" s="260">
        <v>14.856000999999999</v>
      </c>
      <c r="CD186" s="260">
        <v>14.883398999999999</v>
      </c>
      <c r="CE186" s="260">
        <v>14.910668999999999</v>
      </c>
      <c r="CF186" s="260">
        <v>14.937811</v>
      </c>
      <c r="CG186" s="260">
        <v>14.964824999999999</v>
      </c>
      <c r="CH186" s="260">
        <v>14.991712</v>
      </c>
    </row>
    <row r="187" spans="1:86" x14ac:dyDescent="0.25">
      <c r="A187" s="170">
        <v>2</v>
      </c>
      <c r="B187" s="170">
        <v>76</v>
      </c>
      <c r="C187" s="259">
        <v>11.757570266723633</v>
      </c>
      <c r="D187" s="259">
        <v>11.810881614685059</v>
      </c>
      <c r="E187" s="259">
        <v>11.863792419433594</v>
      </c>
      <c r="F187" s="259">
        <v>11.916301727294922</v>
      </c>
      <c r="G187" s="259">
        <v>11.968411445617676</v>
      </c>
      <c r="H187" s="259">
        <v>12.020120620727539</v>
      </c>
      <c r="I187" s="260">
        <v>12.028518999999999</v>
      </c>
      <c r="J187" s="260">
        <v>12.070838</v>
      </c>
      <c r="K187" s="260">
        <v>12.111846999999999</v>
      </c>
      <c r="L187" s="260">
        <v>12.151679999999999</v>
      </c>
      <c r="M187" s="260">
        <v>12.190477</v>
      </c>
      <c r="N187" s="260">
        <v>12.228379</v>
      </c>
      <c r="O187" s="260">
        <v>12.265525999999999</v>
      </c>
      <c r="P187" s="260">
        <v>12.302050999999999</v>
      </c>
      <c r="Q187" s="260">
        <v>12.338080999999999</v>
      </c>
      <c r="R187" s="260">
        <v>12.373726</v>
      </c>
      <c r="S187" s="260">
        <v>12.409082999999999</v>
      </c>
      <c r="T187" s="260">
        <v>12.444229</v>
      </c>
      <c r="U187" s="260">
        <v>12.479222999999999</v>
      </c>
      <c r="V187" s="260">
        <v>12.514097999999999</v>
      </c>
      <c r="W187" s="260">
        <v>12.548867</v>
      </c>
      <c r="X187" s="260">
        <v>12.58353</v>
      </c>
      <c r="Y187" s="260">
        <v>12.618084</v>
      </c>
      <c r="Z187" s="260">
        <v>12.652528999999999</v>
      </c>
      <c r="AA187" s="260">
        <v>12.686866</v>
      </c>
      <c r="AB187" s="260">
        <v>12.721091999999999</v>
      </c>
      <c r="AC187" s="260">
        <v>12.755206999999999</v>
      </c>
      <c r="AD187" s="260">
        <v>12.789211</v>
      </c>
      <c r="AE187" s="260">
        <v>12.823101999999999</v>
      </c>
      <c r="AF187" s="260">
        <v>12.856881</v>
      </c>
      <c r="AG187" s="260">
        <v>12.890545999999999</v>
      </c>
      <c r="AH187" s="260">
        <v>12.924097</v>
      </c>
      <c r="AI187" s="260">
        <v>12.957533999999999</v>
      </c>
      <c r="AJ187" s="260">
        <v>12.990855</v>
      </c>
      <c r="AK187" s="260">
        <v>13.024061</v>
      </c>
      <c r="AL187" s="260">
        <v>13.05715</v>
      </c>
      <c r="AM187" s="260">
        <v>13.090121999999999</v>
      </c>
      <c r="AN187" s="260">
        <v>13.122976</v>
      </c>
      <c r="AO187" s="260">
        <v>13.155712999999999</v>
      </c>
      <c r="AP187" s="260">
        <v>13.188331</v>
      </c>
      <c r="AQ187" s="260">
        <v>13.220829999999999</v>
      </c>
      <c r="AR187" s="260">
        <v>13.253209999999999</v>
      </c>
      <c r="AS187" s="260">
        <v>13.28547</v>
      </c>
      <c r="AT187" s="260">
        <v>13.31761</v>
      </c>
      <c r="AU187" s="260">
        <v>13.349629</v>
      </c>
      <c r="AV187" s="260">
        <v>13.381525999999999</v>
      </c>
      <c r="AW187" s="260">
        <v>13.413302</v>
      </c>
      <c r="AX187" s="260">
        <v>13.444956999999999</v>
      </c>
      <c r="AY187" s="260">
        <v>13.476488999999999</v>
      </c>
      <c r="AZ187" s="260">
        <v>13.507897999999999</v>
      </c>
      <c r="BA187" s="260">
        <v>13.539185</v>
      </c>
      <c r="BB187" s="260">
        <v>13.570347999999999</v>
      </c>
      <c r="BC187" s="260">
        <v>13.601388</v>
      </c>
      <c r="BD187" s="260">
        <v>13.632302999999999</v>
      </c>
      <c r="BE187" s="260">
        <v>13.663095</v>
      </c>
      <c r="BF187" s="260">
        <v>13.693762</v>
      </c>
      <c r="BG187" s="260">
        <v>13.724304999999999</v>
      </c>
      <c r="BH187" s="260">
        <v>13.754723</v>
      </c>
      <c r="BI187" s="260">
        <v>13.785015</v>
      </c>
      <c r="BJ187" s="260">
        <v>13.815182</v>
      </c>
      <c r="BK187" s="260">
        <v>13.845224</v>
      </c>
      <c r="BL187" s="260">
        <v>13.87514</v>
      </c>
      <c r="BM187" s="260">
        <v>13.90493</v>
      </c>
      <c r="BN187" s="260">
        <v>13.934593999999999</v>
      </c>
      <c r="BO187" s="260">
        <v>13.964131999999999</v>
      </c>
      <c r="BP187" s="260">
        <v>13.993544</v>
      </c>
      <c r="BQ187" s="260">
        <v>14.022829</v>
      </c>
      <c r="BR187" s="260">
        <v>14.051988</v>
      </c>
      <c r="BS187" s="260">
        <v>14.081019</v>
      </c>
      <c r="BT187" s="260">
        <v>14.109924999999999</v>
      </c>
      <c r="BU187" s="260">
        <v>14.138703</v>
      </c>
      <c r="BV187" s="260">
        <v>14.167354</v>
      </c>
      <c r="BW187" s="260">
        <v>14.195879</v>
      </c>
      <c r="BX187" s="260">
        <v>14.224276999999999</v>
      </c>
      <c r="BY187" s="260">
        <v>14.252547</v>
      </c>
      <c r="BZ187" s="260">
        <v>14.280690999999999</v>
      </c>
      <c r="CA187" s="260">
        <v>14.308707</v>
      </c>
      <c r="CB187" s="260">
        <v>14.336596999999999</v>
      </c>
      <c r="CC187" s="260">
        <v>14.364358999999999</v>
      </c>
      <c r="CD187" s="260">
        <v>14.391993999999999</v>
      </c>
      <c r="CE187" s="260">
        <v>14.419502999999999</v>
      </c>
      <c r="CF187" s="260">
        <v>14.446883999999999</v>
      </c>
      <c r="CG187" s="260">
        <v>14.474138999999999</v>
      </c>
      <c r="CH187" s="260">
        <v>14.501266999999999</v>
      </c>
    </row>
    <row r="188" spans="1:86" x14ac:dyDescent="0.25">
      <c r="A188" s="170">
        <v>2</v>
      </c>
      <c r="B188" s="170">
        <v>77</v>
      </c>
      <c r="C188" s="259">
        <v>11.250598907470703</v>
      </c>
      <c r="D188" s="259">
        <v>11.302823066711426</v>
      </c>
      <c r="E188" s="259">
        <v>11.354673385620117</v>
      </c>
      <c r="F188" s="259">
        <v>11.406148910522461</v>
      </c>
      <c r="G188" s="259">
        <v>11.457250595092773</v>
      </c>
      <c r="H188" s="259">
        <v>11.507981300354004</v>
      </c>
      <c r="I188" s="260">
        <v>11.521329999999999</v>
      </c>
      <c r="J188" s="260">
        <v>11.563851</v>
      </c>
      <c r="K188" s="260">
        <v>11.605048999999999</v>
      </c>
      <c r="L188" s="260">
        <v>11.645049999999999</v>
      </c>
      <c r="M188" s="260">
        <v>11.683994</v>
      </c>
      <c r="N188" s="260">
        <v>11.722019999999999</v>
      </c>
      <c r="O188" s="260">
        <v>11.759271</v>
      </c>
      <c r="P188" s="260">
        <v>11.795879999999999</v>
      </c>
      <c r="Q188" s="260">
        <v>11.831977</v>
      </c>
      <c r="R188" s="260">
        <v>11.867678</v>
      </c>
      <c r="S188" s="260">
        <v>11.903081999999999</v>
      </c>
      <c r="T188" s="260">
        <v>11.938272</v>
      </c>
      <c r="U188" s="260">
        <v>11.97331</v>
      </c>
      <c r="V188" s="260">
        <v>12.008232</v>
      </c>
      <c r="W188" s="260">
        <v>12.043051</v>
      </c>
      <c r="X188" s="260">
        <v>12.077765999999999</v>
      </c>
      <c r="Y188" s="260">
        <v>12.112375999999999</v>
      </c>
      <c r="Z188" s="260">
        <v>12.146880999999999</v>
      </c>
      <c r="AA188" s="260">
        <v>12.181279</v>
      </c>
      <c r="AB188" s="260">
        <v>12.215570999999999</v>
      </c>
      <c r="AC188" s="260">
        <v>12.249754999999999</v>
      </c>
      <c r="AD188" s="260">
        <v>12.28383</v>
      </c>
      <c r="AE188" s="260">
        <v>12.317796</v>
      </c>
      <c r="AF188" s="260">
        <v>12.351652</v>
      </c>
      <c r="AG188" s="260">
        <v>12.385397999999999</v>
      </c>
      <c r="AH188" s="260">
        <v>12.419032</v>
      </c>
      <c r="AI188" s="260">
        <v>12.452555</v>
      </c>
      <c r="AJ188" s="260">
        <v>12.485965</v>
      </c>
      <c r="AK188" s="260">
        <v>12.519261999999999</v>
      </c>
      <c r="AL188" s="260">
        <v>12.552444999999999</v>
      </c>
      <c r="AM188" s="260">
        <v>12.585514</v>
      </c>
      <c r="AN188" s="260">
        <v>12.618468</v>
      </c>
      <c r="AO188" s="260">
        <v>12.651306999999999</v>
      </c>
      <c r="AP188" s="260">
        <v>12.68403</v>
      </c>
      <c r="AQ188" s="260">
        <v>12.716636999999999</v>
      </c>
      <c r="AR188" s="260">
        <v>12.749125999999999</v>
      </c>
      <c r="AS188" s="260">
        <v>12.781497999999999</v>
      </c>
      <c r="AT188" s="260">
        <v>12.813751999999999</v>
      </c>
      <c r="AU188" s="260">
        <v>12.845887999999999</v>
      </c>
      <c r="AV188" s="260">
        <v>12.877905999999999</v>
      </c>
      <c r="AW188" s="260">
        <v>12.909803999999999</v>
      </c>
      <c r="AX188" s="260">
        <v>12.941581999999999</v>
      </c>
      <c r="AY188" s="260">
        <v>12.973239999999999</v>
      </c>
      <c r="AZ188" s="260">
        <v>13.004778</v>
      </c>
      <c r="BA188" s="260">
        <v>13.036194999999999</v>
      </c>
      <c r="BB188" s="260">
        <v>13.067492</v>
      </c>
      <c r="BC188" s="260">
        <v>13.098666</v>
      </c>
      <c r="BD188" s="260">
        <v>13.129719</v>
      </c>
      <c r="BE188" s="260">
        <v>13.160649999999999</v>
      </c>
      <c r="BF188" s="260">
        <v>13.191459</v>
      </c>
      <c r="BG188" s="260">
        <v>13.222144</v>
      </c>
      <c r="BH188" s="260">
        <v>13.252706999999999</v>
      </c>
      <c r="BI188" s="260">
        <v>13.283147</v>
      </c>
      <c r="BJ188" s="260">
        <v>13.313462999999999</v>
      </c>
      <c r="BK188" s="260">
        <v>13.343655999999999</v>
      </c>
      <c r="BL188" s="260">
        <v>13.373724999999999</v>
      </c>
      <c r="BM188" s="260">
        <v>13.40367</v>
      </c>
      <c r="BN188" s="260">
        <v>13.433489999999999</v>
      </c>
      <c r="BO188" s="260">
        <v>13.463185999999999</v>
      </c>
      <c r="BP188" s="260">
        <v>13.492758</v>
      </c>
      <c r="BQ188" s="260">
        <v>13.522203999999999</v>
      </c>
      <c r="BR188" s="260">
        <v>13.551525999999999</v>
      </c>
      <c r="BS188" s="260">
        <v>13.580722999999999</v>
      </c>
      <c r="BT188" s="260">
        <v>13.609795</v>
      </c>
      <c r="BU188" s="260">
        <v>13.638741</v>
      </c>
      <c r="BV188" s="260">
        <v>13.667562999999999</v>
      </c>
      <c r="BW188" s="260">
        <v>13.696258</v>
      </c>
      <c r="BX188" s="260">
        <v>13.724829</v>
      </c>
      <c r="BY188" s="260">
        <v>13.753273</v>
      </c>
      <c r="BZ188" s="260">
        <v>13.781592999999999</v>
      </c>
      <c r="CA188" s="260">
        <v>13.809785999999999</v>
      </c>
      <c r="CB188" s="260">
        <v>13.837854</v>
      </c>
      <c r="CC188" s="260">
        <v>13.865796</v>
      </c>
      <c r="CD188" s="260">
        <v>13.893613</v>
      </c>
      <c r="CE188" s="260">
        <v>13.921303999999999</v>
      </c>
      <c r="CF188" s="260">
        <v>13.948869</v>
      </c>
      <c r="CG188" s="260">
        <v>13.976308999999999</v>
      </c>
      <c r="CH188" s="260">
        <v>14.003622999999999</v>
      </c>
    </row>
    <row r="189" spans="1:86" x14ac:dyDescent="0.25">
      <c r="A189" s="170">
        <v>2</v>
      </c>
      <c r="B189" s="170">
        <v>78</v>
      </c>
      <c r="C189" s="259">
        <v>10.747227668762207</v>
      </c>
      <c r="D189" s="259">
        <v>10.798029899597168</v>
      </c>
      <c r="E189" s="259">
        <v>10.848489761352539</v>
      </c>
      <c r="F189" s="259">
        <v>10.898606300354004</v>
      </c>
      <c r="G189" s="259">
        <v>10.948381423950195</v>
      </c>
      <c r="H189" s="259">
        <v>10.997812271118164</v>
      </c>
      <c r="I189" s="260">
        <v>11.014465</v>
      </c>
      <c r="J189" s="260">
        <v>11.057027</v>
      </c>
      <c r="K189" s="260">
        <v>11.098265</v>
      </c>
      <c r="L189" s="260">
        <v>11.138301999999999</v>
      </c>
      <c r="M189" s="260">
        <v>11.17727</v>
      </c>
      <c r="N189" s="260">
        <v>11.215306999999999</v>
      </c>
      <c r="O189" s="260">
        <v>11.252554999999999</v>
      </c>
      <c r="P189" s="260">
        <v>11.289147999999999</v>
      </c>
      <c r="Q189" s="260">
        <v>11.325217</v>
      </c>
      <c r="R189" s="260">
        <v>11.36088</v>
      </c>
      <c r="S189" s="260">
        <v>11.396241</v>
      </c>
      <c r="T189" s="260">
        <v>11.431386</v>
      </c>
      <c r="U189" s="260">
        <v>11.466377999999999</v>
      </c>
      <c r="V189" s="260">
        <v>11.501258</v>
      </c>
      <c r="W189" s="260">
        <v>11.536038</v>
      </c>
      <c r="X189" s="260">
        <v>11.570717999999999</v>
      </c>
      <c r="Y189" s="260">
        <v>11.605297</v>
      </c>
      <c r="Z189" s="260">
        <v>11.639773999999999</v>
      </c>
      <c r="AA189" s="260">
        <v>11.674147</v>
      </c>
      <c r="AB189" s="260">
        <v>11.708416999999999</v>
      </c>
      <c r="AC189" s="260">
        <v>11.742583</v>
      </c>
      <c r="AD189" s="260">
        <v>11.776643999999999</v>
      </c>
      <c r="AE189" s="260">
        <v>11.810597999999999</v>
      </c>
      <c r="AF189" s="260">
        <v>11.844446</v>
      </c>
      <c r="AG189" s="260">
        <v>11.878186999999999</v>
      </c>
      <c r="AH189" s="260">
        <v>11.911818999999999</v>
      </c>
      <c r="AI189" s="260">
        <v>11.945342999999999</v>
      </c>
      <c r="AJ189" s="260">
        <v>11.978757</v>
      </c>
      <c r="AK189" s="260">
        <v>12.012060999999999</v>
      </c>
      <c r="AL189" s="260">
        <v>12.045254999999999</v>
      </c>
      <c r="AM189" s="260">
        <v>12.078337999999999</v>
      </c>
      <c r="AN189" s="260">
        <v>12.111307999999999</v>
      </c>
      <c r="AO189" s="260">
        <v>12.144166</v>
      </c>
      <c r="AP189" s="260">
        <v>12.176910999999999</v>
      </c>
      <c r="AQ189" s="260">
        <v>12.209543</v>
      </c>
      <c r="AR189" s="260">
        <v>12.242059999999999</v>
      </c>
      <c r="AS189" s="260">
        <v>12.274462999999999</v>
      </c>
      <c r="AT189" s="260">
        <v>12.306751</v>
      </c>
      <c r="AU189" s="260">
        <v>12.338922999999999</v>
      </c>
      <c r="AV189" s="260">
        <v>12.370979</v>
      </c>
      <c r="AW189" s="260">
        <v>12.402918999999999</v>
      </c>
      <c r="AX189" s="260">
        <v>12.434742</v>
      </c>
      <c r="AY189" s="260">
        <v>12.466446999999999</v>
      </c>
      <c r="AZ189" s="260">
        <v>12.498035</v>
      </c>
      <c r="BA189" s="260">
        <v>12.529503999999999</v>
      </c>
      <c r="BB189" s="260">
        <v>12.560855</v>
      </c>
      <c r="BC189" s="260">
        <v>12.592086999999999</v>
      </c>
      <c r="BD189" s="260">
        <v>12.623199</v>
      </c>
      <c r="BE189" s="260">
        <v>12.654192</v>
      </c>
      <c r="BF189" s="260">
        <v>12.685065</v>
      </c>
      <c r="BG189" s="260">
        <v>12.715817999999999</v>
      </c>
      <c r="BH189" s="260">
        <v>12.746449999999999</v>
      </c>
      <c r="BI189" s="260">
        <v>12.776961</v>
      </c>
      <c r="BJ189" s="260">
        <v>12.807350999999999</v>
      </c>
      <c r="BK189" s="260">
        <v>12.837619999999999</v>
      </c>
      <c r="BL189" s="260">
        <v>12.867766999999999</v>
      </c>
      <c r="BM189" s="260">
        <v>12.897791999999999</v>
      </c>
      <c r="BN189" s="260">
        <v>12.927695</v>
      </c>
      <c r="BO189" s="260">
        <v>12.957476</v>
      </c>
      <c r="BP189" s="260">
        <v>12.987134999999999</v>
      </c>
      <c r="BQ189" s="260">
        <v>13.01667</v>
      </c>
      <c r="BR189" s="260">
        <v>13.046082999999999</v>
      </c>
      <c r="BS189" s="260">
        <v>13.075372999999999</v>
      </c>
      <c r="BT189" s="260">
        <v>13.10454</v>
      </c>
      <c r="BU189" s="260">
        <v>13.133583999999999</v>
      </c>
      <c r="BV189" s="260">
        <v>13.162504</v>
      </c>
      <c r="BW189" s="260">
        <v>13.191300999999999</v>
      </c>
      <c r="BX189" s="260">
        <v>13.219973999999999</v>
      </c>
      <c r="BY189" s="260">
        <v>13.248524</v>
      </c>
      <c r="BZ189" s="260">
        <v>13.276949999999999</v>
      </c>
      <c r="CA189" s="260">
        <v>13.305251999999999</v>
      </c>
      <c r="CB189" s="260">
        <v>13.33343</v>
      </c>
      <c r="CC189" s="260">
        <v>13.361483999999999</v>
      </c>
      <c r="CD189" s="260">
        <v>13.389415</v>
      </c>
      <c r="CE189" s="260">
        <v>13.417221</v>
      </c>
      <c r="CF189" s="260">
        <v>13.444903999999999</v>
      </c>
      <c r="CG189" s="260">
        <v>13.472462999999999</v>
      </c>
      <c r="CH189" s="260">
        <v>13.499896999999999</v>
      </c>
    </row>
    <row r="190" spans="1:86" x14ac:dyDescent="0.25">
      <c r="A190" s="170">
        <v>2</v>
      </c>
      <c r="B190" s="170">
        <v>79</v>
      </c>
      <c r="C190" s="259">
        <v>10.250363349914551</v>
      </c>
      <c r="D190" s="259">
        <v>10.299348831176758</v>
      </c>
      <c r="E190" s="259">
        <v>10.348030090332031</v>
      </c>
      <c r="F190" s="259">
        <v>10.396406173706055</v>
      </c>
      <c r="G190" s="259">
        <v>10.444475173950195</v>
      </c>
      <c r="H190" s="259">
        <v>10.492237091064453</v>
      </c>
      <c r="I190" s="260">
        <v>10.509350999999999</v>
      </c>
      <c r="J190" s="260">
        <v>10.551777</v>
      </c>
      <c r="K190" s="260">
        <v>10.592895</v>
      </c>
      <c r="L190" s="260">
        <v>10.632819</v>
      </c>
      <c r="M190" s="260">
        <v>10.671676</v>
      </c>
      <c r="N190" s="260">
        <v>10.7096</v>
      </c>
      <c r="O190" s="260">
        <v>10.746725999999999</v>
      </c>
      <c r="P190" s="260">
        <v>10.783192999999999</v>
      </c>
      <c r="Q190" s="260">
        <v>10.819127999999999</v>
      </c>
      <c r="R190" s="260">
        <v>10.854652999999999</v>
      </c>
      <c r="S190" s="260">
        <v>10.889871999999999</v>
      </c>
      <c r="T190" s="260">
        <v>10.924873</v>
      </c>
      <c r="U190" s="260">
        <v>10.959724</v>
      </c>
      <c r="V190" s="260">
        <v>10.994465</v>
      </c>
      <c r="W190" s="260">
        <v>11.029109999999999</v>
      </c>
      <c r="X190" s="260">
        <v>11.063658999999999</v>
      </c>
      <c r="Y190" s="260">
        <v>11.09811</v>
      </c>
      <c r="Z190" s="260">
        <v>11.132463</v>
      </c>
      <c r="AA190" s="260">
        <v>11.166717</v>
      </c>
      <c r="AB190" s="260">
        <v>11.20087</v>
      </c>
      <c r="AC190" s="260">
        <v>11.234923</v>
      </c>
      <c r="AD190" s="260">
        <v>11.268874</v>
      </c>
      <c r="AE190" s="260">
        <v>11.302723</v>
      </c>
      <c r="AF190" s="260">
        <v>11.336468999999999</v>
      </c>
      <c r="AG190" s="260">
        <v>11.370109999999999</v>
      </c>
      <c r="AH190" s="260">
        <v>11.403647999999999</v>
      </c>
      <c r="AI190" s="260">
        <v>11.43708</v>
      </c>
      <c r="AJ190" s="260">
        <v>11.470405</v>
      </c>
      <c r="AK190" s="260">
        <v>11.503625</v>
      </c>
      <c r="AL190" s="260">
        <v>11.536736999999999</v>
      </c>
      <c r="AM190" s="260">
        <v>11.569740999999999</v>
      </c>
      <c r="AN190" s="260">
        <v>11.602635999999999</v>
      </c>
      <c r="AO190" s="260">
        <v>11.635422</v>
      </c>
      <c r="AP190" s="260">
        <v>11.668099</v>
      </c>
      <c r="AQ190" s="260">
        <v>11.700664999999999</v>
      </c>
      <c r="AR190" s="260">
        <v>11.73312</v>
      </c>
      <c r="AS190" s="260">
        <v>11.765464</v>
      </c>
      <c r="AT190" s="260">
        <v>11.797696</v>
      </c>
      <c r="AU190" s="260">
        <v>11.829815</v>
      </c>
      <c r="AV190" s="260">
        <v>11.861822</v>
      </c>
      <c r="AW190" s="260">
        <v>11.893715</v>
      </c>
      <c r="AX190" s="260">
        <v>11.925493999999999</v>
      </c>
      <c r="AY190" s="260">
        <v>11.957158</v>
      </c>
      <c r="AZ190" s="260">
        <v>11.988707999999999</v>
      </c>
      <c r="BA190" s="260">
        <v>12.020142</v>
      </c>
      <c r="BB190" s="260">
        <v>12.051461</v>
      </c>
      <c r="BC190" s="260">
        <v>12.082663999999999</v>
      </c>
      <c r="BD190" s="260">
        <v>12.11375</v>
      </c>
      <c r="BE190" s="260">
        <v>12.144719</v>
      </c>
      <c r="BF190" s="260">
        <v>12.175571</v>
      </c>
      <c r="BG190" s="260">
        <v>12.206306</v>
      </c>
      <c r="BH190" s="260">
        <v>12.236922999999999</v>
      </c>
      <c r="BI190" s="260">
        <v>12.267422</v>
      </c>
      <c r="BJ190" s="260">
        <v>12.297801999999999</v>
      </c>
      <c r="BK190" s="260">
        <v>12.328063999999999</v>
      </c>
      <c r="BL190" s="260">
        <v>12.358205999999999</v>
      </c>
      <c r="BM190" s="260">
        <v>12.38823</v>
      </c>
      <c r="BN190" s="260">
        <v>12.418132999999999</v>
      </c>
      <c r="BO190" s="260">
        <v>12.447918</v>
      </c>
      <c r="BP190" s="260">
        <v>12.477582</v>
      </c>
      <c r="BQ190" s="260">
        <v>12.507126</v>
      </c>
      <c r="BR190" s="260">
        <v>12.536548999999999</v>
      </c>
      <c r="BS190" s="260">
        <v>12.565852</v>
      </c>
      <c r="BT190" s="260">
        <v>12.595034999999999</v>
      </c>
      <c r="BU190" s="260">
        <v>12.624096</v>
      </c>
      <c r="BV190" s="260">
        <v>12.653036999999999</v>
      </c>
      <c r="BW190" s="260">
        <v>12.681856</v>
      </c>
      <c r="BX190" s="260">
        <v>12.710554999999999</v>
      </c>
      <c r="BY190" s="260">
        <v>12.739130999999999</v>
      </c>
      <c r="BZ190" s="260">
        <v>12.767586999999999</v>
      </c>
      <c r="CA190" s="260">
        <v>12.795921</v>
      </c>
      <c r="CB190" s="260">
        <v>12.824133</v>
      </c>
      <c r="CC190" s="260">
        <v>12.852222999999999</v>
      </c>
      <c r="CD190" s="260">
        <v>12.880191999999999</v>
      </c>
      <c r="CE190" s="260">
        <v>12.908038999999999</v>
      </c>
      <c r="CF190" s="260">
        <v>12.935763999999999</v>
      </c>
      <c r="CG190" s="260">
        <v>12.963367999999999</v>
      </c>
      <c r="CH190" s="260">
        <v>12.990848999999999</v>
      </c>
    </row>
    <row r="191" spans="1:86" x14ac:dyDescent="0.25">
      <c r="A191" s="170">
        <v>2</v>
      </c>
      <c r="B191" s="170">
        <v>80</v>
      </c>
      <c r="C191" s="259">
        <v>9.7625226974487305</v>
      </c>
      <c r="D191" s="259">
        <v>9.8092432022094727</v>
      </c>
      <c r="E191" s="259">
        <v>9.8557024002075195</v>
      </c>
      <c r="F191" s="259">
        <v>9.9018993377685547</v>
      </c>
      <c r="G191" s="259">
        <v>9.9478321075439453</v>
      </c>
      <c r="H191" s="259">
        <v>9.9935007095336914</v>
      </c>
      <c r="I191" s="260">
        <v>10.007135999999999</v>
      </c>
      <c r="J191" s="260">
        <v>10.049242</v>
      </c>
      <c r="K191" s="260">
        <v>10.090071999999999</v>
      </c>
      <c r="L191" s="260">
        <v>10.129728999999999</v>
      </c>
      <c r="M191" s="260">
        <v>10.168331999999999</v>
      </c>
      <c r="N191" s="260">
        <v>10.206009999999999</v>
      </c>
      <c r="O191" s="260">
        <v>10.242892999999999</v>
      </c>
      <c r="P191" s="260">
        <v>10.279116</v>
      </c>
      <c r="Q191" s="260">
        <v>10.314805999999999</v>
      </c>
      <c r="R191" s="260">
        <v>10.350083999999999</v>
      </c>
      <c r="S191" s="260">
        <v>10.385055999999999</v>
      </c>
      <c r="T191" s="260">
        <v>10.419810999999999</v>
      </c>
      <c r="U191" s="260">
        <v>10.454416999999999</v>
      </c>
      <c r="V191" s="260">
        <v>10.488916999999999</v>
      </c>
      <c r="W191" s="260">
        <v>10.523325</v>
      </c>
      <c r="X191" s="260">
        <v>10.557639999999999</v>
      </c>
      <c r="Y191" s="260">
        <v>10.591861999999999</v>
      </c>
      <c r="Z191" s="260">
        <v>10.625988999999999</v>
      </c>
      <c r="AA191" s="260">
        <v>10.660020999999999</v>
      </c>
      <c r="AB191" s="260">
        <v>10.693956999999999</v>
      </c>
      <c r="AC191" s="260">
        <v>10.727796</v>
      </c>
      <c r="AD191" s="260">
        <v>10.761536999999999</v>
      </c>
      <c r="AE191" s="260">
        <v>10.79518</v>
      </c>
      <c r="AF191" s="260">
        <v>10.828723</v>
      </c>
      <c r="AG191" s="260">
        <v>10.862166</v>
      </c>
      <c r="AH191" s="260">
        <v>10.895508</v>
      </c>
      <c r="AI191" s="260">
        <v>10.928749</v>
      </c>
      <c r="AJ191" s="260">
        <v>10.961886999999999</v>
      </c>
      <c r="AK191" s="260">
        <v>10.994923</v>
      </c>
      <c r="AL191" s="260">
        <v>11.027854</v>
      </c>
      <c r="AM191" s="260">
        <v>11.060682</v>
      </c>
      <c r="AN191" s="260">
        <v>11.093404</v>
      </c>
      <c r="AO191" s="260">
        <v>11.126021</v>
      </c>
      <c r="AP191" s="260">
        <v>11.158531</v>
      </c>
      <c r="AQ191" s="260">
        <v>11.190935</v>
      </c>
      <c r="AR191" s="260">
        <v>11.223231</v>
      </c>
      <c r="AS191" s="260">
        <v>11.255419</v>
      </c>
      <c r="AT191" s="260">
        <v>11.287498999999999</v>
      </c>
      <c r="AU191" s="260">
        <v>11.319469</v>
      </c>
      <c r="AV191" s="260">
        <v>11.351329999999999</v>
      </c>
      <c r="AW191" s="260">
        <v>11.383080999999999</v>
      </c>
      <c r="AX191" s="260">
        <v>11.414721999999999</v>
      </c>
      <c r="AY191" s="260">
        <v>11.446251</v>
      </c>
      <c r="AZ191" s="260">
        <v>11.477668</v>
      </c>
      <c r="BA191" s="260">
        <v>11.508974</v>
      </c>
      <c r="BB191" s="260">
        <v>11.540167</v>
      </c>
      <c r="BC191" s="260">
        <v>11.571247999999999</v>
      </c>
      <c r="BD191" s="260">
        <v>11.602214999999999</v>
      </c>
      <c r="BE191" s="260">
        <v>11.633068999999999</v>
      </c>
      <c r="BF191" s="260">
        <v>11.663808</v>
      </c>
      <c r="BG191" s="260">
        <v>11.694433</v>
      </c>
      <c r="BH191" s="260">
        <v>11.724943999999999</v>
      </c>
      <c r="BI191" s="260">
        <v>11.755338999999999</v>
      </c>
      <c r="BJ191" s="260">
        <v>11.785618999999999</v>
      </c>
      <c r="BK191" s="260">
        <v>11.815783</v>
      </c>
      <c r="BL191" s="260">
        <v>11.845832</v>
      </c>
      <c r="BM191" s="260">
        <v>11.875764</v>
      </c>
      <c r="BN191" s="260">
        <v>11.905578999999999</v>
      </c>
      <c r="BO191" s="260">
        <v>11.935278</v>
      </c>
      <c r="BP191" s="260">
        <v>11.96486</v>
      </c>
      <c r="BQ191" s="260">
        <v>11.994323999999999</v>
      </c>
      <c r="BR191" s="260">
        <v>12.023671</v>
      </c>
      <c r="BS191" s="260">
        <v>12.052901</v>
      </c>
      <c r="BT191" s="260">
        <v>12.082011999999999</v>
      </c>
      <c r="BU191" s="260">
        <v>12.111006</v>
      </c>
      <c r="BV191" s="260">
        <v>12.139880999999999</v>
      </c>
      <c r="BW191" s="260">
        <v>12.168638</v>
      </c>
      <c r="BX191" s="260">
        <v>12.197275999999999</v>
      </c>
      <c r="BY191" s="260">
        <v>12.225795999999999</v>
      </c>
      <c r="BZ191" s="260">
        <v>12.254197</v>
      </c>
      <c r="CA191" s="260">
        <v>12.282478999999999</v>
      </c>
      <c r="CB191" s="260">
        <v>12.310642</v>
      </c>
      <c r="CC191" s="260">
        <v>12.338685999999999</v>
      </c>
      <c r="CD191" s="260">
        <v>12.36661</v>
      </c>
      <c r="CE191" s="260">
        <v>12.394416</v>
      </c>
      <c r="CF191" s="260">
        <v>12.422101999999999</v>
      </c>
      <c r="CG191" s="260">
        <v>12.449669999999999</v>
      </c>
      <c r="CH191" s="260">
        <v>12.477117</v>
      </c>
    </row>
    <row r="192" spans="1:86" x14ac:dyDescent="0.25">
      <c r="A192" s="170">
        <v>2</v>
      </c>
      <c r="B192" s="170">
        <v>81</v>
      </c>
      <c r="C192" s="259">
        <v>9.2932424545288086</v>
      </c>
      <c r="D192" s="259">
        <v>9.3383073806762695</v>
      </c>
      <c r="E192" s="259">
        <v>9.3831281661987305</v>
      </c>
      <c r="F192" s="259">
        <v>9.4277057647705078</v>
      </c>
      <c r="G192" s="259">
        <v>9.4720392227172852</v>
      </c>
      <c r="H192" s="259">
        <v>9.5161266326904297</v>
      </c>
      <c r="I192" s="260">
        <v>9.5092040000000004</v>
      </c>
      <c r="J192" s="260">
        <v>9.5508039999999994</v>
      </c>
      <c r="K192" s="260">
        <v>9.59117</v>
      </c>
      <c r="L192" s="260">
        <v>9.6303999999999998</v>
      </c>
      <c r="M192" s="260">
        <v>9.6686009999999989</v>
      </c>
      <c r="N192" s="260">
        <v>9.7058929999999997</v>
      </c>
      <c r="O192" s="260">
        <v>9.7424039999999987</v>
      </c>
      <c r="P192" s="260">
        <v>9.7782590000000003</v>
      </c>
      <c r="Q192" s="260">
        <v>9.813585999999999</v>
      </c>
      <c r="R192" s="260">
        <v>9.8485029999999991</v>
      </c>
      <c r="S192" s="260">
        <v>9.8831150000000001</v>
      </c>
      <c r="T192" s="260">
        <v>9.9175129999999996</v>
      </c>
      <c r="U192" s="260">
        <v>9.9517639999999989</v>
      </c>
      <c r="V192" s="260">
        <v>9.985913</v>
      </c>
      <c r="W192" s="260">
        <v>10.019973999999999</v>
      </c>
      <c r="X192" s="260">
        <v>10.053946999999999</v>
      </c>
      <c r="Y192" s="260">
        <v>10.087831</v>
      </c>
      <c r="Z192" s="260">
        <v>10.121623</v>
      </c>
      <c r="AA192" s="260">
        <v>10.155324999999999</v>
      </c>
      <c r="AB192" s="260">
        <v>10.188934999999999</v>
      </c>
      <c r="AC192" s="260">
        <v>10.222451</v>
      </c>
      <c r="AD192" s="260">
        <v>10.255874</v>
      </c>
      <c r="AE192" s="260">
        <v>10.289202999999999</v>
      </c>
      <c r="AF192" s="260">
        <v>10.322434999999999</v>
      </c>
      <c r="AG192" s="260">
        <v>10.355571999999999</v>
      </c>
      <c r="AH192" s="260">
        <v>10.388612</v>
      </c>
      <c r="AI192" s="260">
        <v>10.421553999999999</v>
      </c>
      <c r="AJ192" s="260">
        <v>10.454397999999999</v>
      </c>
      <c r="AK192" s="260">
        <v>10.487143</v>
      </c>
      <c r="AL192" s="260">
        <v>10.519786999999999</v>
      </c>
      <c r="AM192" s="260">
        <v>10.552332</v>
      </c>
      <c r="AN192" s="260">
        <v>10.584774999999999</v>
      </c>
      <c r="AO192" s="260">
        <v>10.617117</v>
      </c>
      <c r="AP192" s="260">
        <v>10.649355999999999</v>
      </c>
      <c r="AQ192" s="260">
        <v>10.681491999999999</v>
      </c>
      <c r="AR192" s="260">
        <v>10.713524</v>
      </c>
      <c r="AS192" s="260">
        <v>10.745452</v>
      </c>
      <c r="AT192" s="260">
        <v>10.777275999999999</v>
      </c>
      <c r="AU192" s="260">
        <v>10.808994</v>
      </c>
      <c r="AV192" s="260">
        <v>10.840605999999999</v>
      </c>
      <c r="AW192" s="260">
        <v>10.872112</v>
      </c>
      <c r="AX192" s="260">
        <v>10.903509999999999</v>
      </c>
      <c r="AY192" s="260">
        <v>10.934801999999999</v>
      </c>
      <c r="AZ192" s="260">
        <v>10.965985</v>
      </c>
      <c r="BA192" s="260">
        <v>10.997059999999999</v>
      </c>
      <c r="BB192" s="260">
        <v>11.028027</v>
      </c>
      <c r="BC192" s="260">
        <v>11.058883999999999</v>
      </c>
      <c r="BD192" s="260">
        <v>11.089630999999999</v>
      </c>
      <c r="BE192" s="260">
        <v>11.120267999999999</v>
      </c>
      <c r="BF192" s="260">
        <v>11.150794999999999</v>
      </c>
      <c r="BG192" s="260">
        <v>11.181210999999999</v>
      </c>
      <c r="BH192" s="260">
        <v>11.211515</v>
      </c>
      <c r="BI192" s="260">
        <v>11.241707999999999</v>
      </c>
      <c r="BJ192" s="260">
        <v>11.271789</v>
      </c>
      <c r="BK192" s="260">
        <v>11.301758</v>
      </c>
      <c r="BL192" s="260">
        <v>11.331614999999999</v>
      </c>
      <c r="BM192" s="260">
        <v>11.361357999999999</v>
      </c>
      <c r="BN192" s="260">
        <v>11.390988</v>
      </c>
      <c r="BO192" s="260">
        <v>11.420505</v>
      </c>
      <c r="BP192" s="260">
        <v>11.449907999999999</v>
      </c>
      <c r="BQ192" s="260">
        <v>11.479196999999999</v>
      </c>
      <c r="BR192" s="260">
        <v>11.508372</v>
      </c>
      <c r="BS192" s="260">
        <v>11.537433</v>
      </c>
      <c r="BT192" s="260">
        <v>11.566379</v>
      </c>
      <c r="BU192" s="260">
        <v>11.59521</v>
      </c>
      <c r="BV192" s="260">
        <v>11.623925999999999</v>
      </c>
      <c r="BW192" s="260">
        <v>11.652526999999999</v>
      </c>
      <c r="BX192" s="260">
        <v>11.681011999999999</v>
      </c>
      <c r="BY192" s="260">
        <v>11.709382</v>
      </c>
      <c r="BZ192" s="260">
        <v>11.737636999999999</v>
      </c>
      <c r="CA192" s="260">
        <v>11.765775</v>
      </c>
      <c r="CB192" s="260">
        <v>11.793797999999999</v>
      </c>
      <c r="CC192" s="260">
        <v>11.821705</v>
      </c>
      <c r="CD192" s="260">
        <v>11.849496</v>
      </c>
      <c r="CE192" s="260">
        <v>11.87717</v>
      </c>
      <c r="CF192" s="260">
        <v>11.904727999999999</v>
      </c>
      <c r="CG192" s="260">
        <v>11.932169999999999</v>
      </c>
      <c r="CH192" s="260">
        <v>11.959496</v>
      </c>
    </row>
    <row r="193" spans="1:86" x14ac:dyDescent="0.25">
      <c r="A193" s="170">
        <v>2</v>
      </c>
      <c r="B193" s="170">
        <v>82</v>
      </c>
      <c r="C193" s="259">
        <v>8.836482048034668</v>
      </c>
      <c r="D193" s="259">
        <v>8.8795289993286133</v>
      </c>
      <c r="E193" s="259">
        <v>8.9223546981811523</v>
      </c>
      <c r="F193" s="259">
        <v>8.9649591445922852</v>
      </c>
      <c r="G193" s="259">
        <v>9.0073413848876953</v>
      </c>
      <c r="H193" s="259">
        <v>9.0494985580444336</v>
      </c>
      <c r="I193" s="260">
        <v>9.017472999999999</v>
      </c>
      <c r="J193" s="260">
        <v>9.0583749999999998</v>
      </c>
      <c r="K193" s="260">
        <v>9.0980980000000002</v>
      </c>
      <c r="L193" s="260">
        <v>9.136728999999999</v>
      </c>
      <c r="M193" s="260">
        <v>9.1743699999999997</v>
      </c>
      <c r="N193" s="260">
        <v>9.2111289999999997</v>
      </c>
      <c r="O193" s="260">
        <v>9.2471239999999995</v>
      </c>
      <c r="P193" s="260">
        <v>9.2824799999999996</v>
      </c>
      <c r="Q193" s="260">
        <v>9.3173149999999989</v>
      </c>
      <c r="R193" s="260">
        <v>9.3517449999999993</v>
      </c>
      <c r="S193" s="260">
        <v>9.3858759999999997</v>
      </c>
      <c r="T193" s="260">
        <v>9.4197949999999988</v>
      </c>
      <c r="U193" s="260">
        <v>9.4535710000000002</v>
      </c>
      <c r="V193" s="260">
        <v>9.4872499999999995</v>
      </c>
      <c r="W193" s="260">
        <v>9.5208440000000003</v>
      </c>
      <c r="X193" s="260">
        <v>9.5543549999999993</v>
      </c>
      <c r="Y193" s="260">
        <v>9.5877800000000004</v>
      </c>
      <c r="Z193" s="260">
        <v>9.6211190000000002</v>
      </c>
      <c r="AA193" s="260">
        <v>9.6543709999999994</v>
      </c>
      <c r="AB193" s="260">
        <v>9.6875349999999987</v>
      </c>
      <c r="AC193" s="260">
        <v>9.7206099999999989</v>
      </c>
      <c r="AD193" s="260">
        <v>9.7535959999999999</v>
      </c>
      <c r="AE193" s="260">
        <v>9.7864909999999998</v>
      </c>
      <c r="AF193" s="260">
        <v>9.8192950000000003</v>
      </c>
      <c r="AG193" s="260">
        <v>9.8520079999999997</v>
      </c>
      <c r="AH193" s="260">
        <v>9.8846270000000001</v>
      </c>
      <c r="AI193" s="260">
        <v>9.917152999999999</v>
      </c>
      <c r="AJ193" s="260">
        <v>9.9495839999999998</v>
      </c>
      <c r="AK193" s="260">
        <v>9.9819209999999998</v>
      </c>
      <c r="AL193" s="260">
        <v>10.014161999999999</v>
      </c>
      <c r="AM193" s="260">
        <v>10.046306</v>
      </c>
      <c r="AN193" s="260">
        <v>10.078353999999999</v>
      </c>
      <c r="AO193" s="260">
        <v>10.110303999999999</v>
      </c>
      <c r="AP193" s="260">
        <v>10.142154999999999</v>
      </c>
      <c r="AQ193" s="260">
        <v>10.173907999999999</v>
      </c>
      <c r="AR193" s="260">
        <v>10.205560999999999</v>
      </c>
      <c r="AS193" s="260">
        <v>10.237114</v>
      </c>
      <c r="AT193" s="260">
        <v>10.268566</v>
      </c>
      <c r="AU193" s="260">
        <v>10.299916</v>
      </c>
      <c r="AV193" s="260">
        <v>10.331165</v>
      </c>
      <c r="AW193" s="260">
        <v>10.362311999999999</v>
      </c>
      <c r="AX193" s="260">
        <v>10.393355</v>
      </c>
      <c r="AY193" s="260">
        <v>10.424294999999999</v>
      </c>
      <c r="AZ193" s="260">
        <v>10.455131</v>
      </c>
      <c r="BA193" s="260">
        <v>10.485863</v>
      </c>
      <c r="BB193" s="260">
        <v>10.516489999999999</v>
      </c>
      <c r="BC193" s="260">
        <v>10.547010999999999</v>
      </c>
      <c r="BD193" s="260">
        <v>10.577427</v>
      </c>
      <c r="BE193" s="260">
        <v>10.607737</v>
      </c>
      <c r="BF193" s="260">
        <v>10.63794</v>
      </c>
      <c r="BG193" s="260">
        <v>10.668035999999999</v>
      </c>
      <c r="BH193" s="260">
        <v>10.698024</v>
      </c>
      <c r="BI193" s="260">
        <v>10.727905</v>
      </c>
      <c r="BJ193" s="260">
        <v>10.757678</v>
      </c>
      <c r="BK193" s="260">
        <v>10.787341999999999</v>
      </c>
      <c r="BL193" s="260">
        <v>10.816898</v>
      </c>
      <c r="BM193" s="260">
        <v>10.846344</v>
      </c>
      <c r="BN193" s="260">
        <v>10.875681</v>
      </c>
      <c r="BO193" s="260">
        <v>10.904909</v>
      </c>
      <c r="BP193" s="260">
        <v>10.934025999999999</v>
      </c>
      <c r="BQ193" s="260">
        <v>10.963032999999999</v>
      </c>
      <c r="BR193" s="260">
        <v>10.99193</v>
      </c>
      <c r="BS193" s="260">
        <v>11.020716</v>
      </c>
      <c r="BT193" s="260">
        <v>11.049391</v>
      </c>
      <c r="BU193" s="260">
        <v>11.077954999999999</v>
      </c>
      <c r="BV193" s="260">
        <v>11.106408</v>
      </c>
      <c r="BW193" s="260">
        <v>11.134748999999999</v>
      </c>
      <c r="BX193" s="260">
        <v>11.162977999999999</v>
      </c>
      <c r="BY193" s="260">
        <v>11.191096</v>
      </c>
      <c r="BZ193" s="260">
        <v>11.219101</v>
      </c>
      <c r="CA193" s="260">
        <v>11.246993999999999</v>
      </c>
      <c r="CB193" s="260">
        <v>11.274775</v>
      </c>
      <c r="CC193" s="260">
        <v>11.302443</v>
      </c>
      <c r="CD193" s="260">
        <v>11.329998999999999</v>
      </c>
      <c r="CE193" s="260">
        <v>11.357441999999999</v>
      </c>
      <c r="CF193" s="260">
        <v>11.384772</v>
      </c>
      <c r="CG193" s="260">
        <v>11.411989999999999</v>
      </c>
      <c r="CH193" s="260">
        <v>11.439093999999999</v>
      </c>
    </row>
    <row r="194" spans="1:86" x14ac:dyDescent="0.25">
      <c r="A194" s="170">
        <v>2</v>
      </c>
      <c r="B194" s="170">
        <v>83</v>
      </c>
      <c r="C194" s="259">
        <v>8.3927955627441406</v>
      </c>
      <c r="D194" s="259">
        <v>8.4334373474121094</v>
      </c>
      <c r="E194" s="259">
        <v>8.473881721496582</v>
      </c>
      <c r="F194" s="259">
        <v>8.5141305923461914</v>
      </c>
      <c r="G194" s="259">
        <v>8.5541830062866211</v>
      </c>
      <c r="H194" s="259">
        <v>8.5940380096435547</v>
      </c>
      <c r="I194" s="260">
        <v>8.5343249999999991</v>
      </c>
      <c r="J194" s="260">
        <v>8.5743299999999998</v>
      </c>
      <c r="K194" s="260">
        <v>8.6132200000000001</v>
      </c>
      <c r="L194" s="260">
        <v>8.6510719999999992</v>
      </c>
      <c r="M194" s="260">
        <v>8.6879790000000003</v>
      </c>
      <c r="N194" s="260">
        <v>8.724041999999999</v>
      </c>
      <c r="O194" s="260">
        <v>8.7593699999999988</v>
      </c>
      <c r="P194" s="260">
        <v>8.794077999999999</v>
      </c>
      <c r="Q194" s="260">
        <v>8.8282790000000002</v>
      </c>
      <c r="R194" s="260">
        <v>8.8620850000000004</v>
      </c>
      <c r="S194" s="260">
        <v>8.8955979999999997</v>
      </c>
      <c r="T194" s="260">
        <v>8.9289039999999993</v>
      </c>
      <c r="U194" s="260">
        <v>8.9620719999999992</v>
      </c>
      <c r="V194" s="260">
        <v>8.9951469999999993</v>
      </c>
      <c r="W194" s="260">
        <v>9.028141999999999</v>
      </c>
      <c r="X194" s="260">
        <v>9.0610569999999999</v>
      </c>
      <c r="Y194" s="260">
        <v>9.0938909999999993</v>
      </c>
      <c r="Z194" s="260">
        <v>9.1266429999999996</v>
      </c>
      <c r="AA194" s="260">
        <v>9.1593129999999991</v>
      </c>
      <c r="AB194" s="260">
        <v>9.1918989999999994</v>
      </c>
      <c r="AC194" s="260">
        <v>9.2244010000000003</v>
      </c>
      <c r="AD194" s="260">
        <v>9.2568169999999999</v>
      </c>
      <c r="AE194" s="260">
        <v>9.2891469999999998</v>
      </c>
      <c r="AF194" s="260">
        <v>9.3213899999999992</v>
      </c>
      <c r="AG194" s="260">
        <v>9.3535459999999997</v>
      </c>
      <c r="AH194" s="260">
        <v>9.3856129999999993</v>
      </c>
      <c r="AI194" s="260">
        <v>9.4175919999999991</v>
      </c>
      <c r="AJ194" s="260">
        <v>9.4494799999999994</v>
      </c>
      <c r="AK194" s="260">
        <v>9.4812770000000004</v>
      </c>
      <c r="AL194" s="260">
        <v>9.5129839999999994</v>
      </c>
      <c r="AM194" s="260">
        <v>9.5445979999999988</v>
      </c>
      <c r="AN194" s="260">
        <v>9.5761199999999995</v>
      </c>
      <c r="AO194" s="260">
        <v>9.6075479999999995</v>
      </c>
      <c r="AP194" s="260">
        <v>9.6388819999999988</v>
      </c>
      <c r="AQ194" s="260">
        <v>9.6701219999999992</v>
      </c>
      <c r="AR194" s="260">
        <v>9.7012660000000004</v>
      </c>
      <c r="AS194" s="260">
        <v>9.7323149999999998</v>
      </c>
      <c r="AT194" s="260">
        <v>9.763266999999999</v>
      </c>
      <c r="AU194" s="260">
        <v>9.7941219999999998</v>
      </c>
      <c r="AV194" s="260">
        <v>9.8248800000000003</v>
      </c>
      <c r="AW194" s="260">
        <v>9.8555399999999995</v>
      </c>
      <c r="AX194" s="260">
        <v>9.886101</v>
      </c>
      <c r="AY194" s="260">
        <v>9.916563</v>
      </c>
      <c r="AZ194" s="260">
        <v>9.9469250000000002</v>
      </c>
      <c r="BA194" s="260">
        <v>9.9771869999999989</v>
      </c>
      <c r="BB194" s="260">
        <v>10.007349</v>
      </c>
      <c r="BC194" s="260">
        <v>10.037409</v>
      </c>
      <c r="BD194" s="260">
        <v>10.067368</v>
      </c>
      <c r="BE194" s="260">
        <v>10.097225999999999</v>
      </c>
      <c r="BF194" s="260">
        <v>10.12698</v>
      </c>
      <c r="BG194" s="260">
        <v>10.156632999999999</v>
      </c>
      <c r="BH194" s="260">
        <v>10.186181999999999</v>
      </c>
      <c r="BI194" s="260">
        <v>10.215627</v>
      </c>
      <c r="BJ194" s="260">
        <v>10.244968999999999</v>
      </c>
      <c r="BK194" s="260">
        <v>10.274206999999999</v>
      </c>
      <c r="BL194" s="260">
        <v>10.30334</v>
      </c>
      <c r="BM194" s="260">
        <v>10.332367999999999</v>
      </c>
      <c r="BN194" s="260">
        <v>10.361291</v>
      </c>
      <c r="BO194" s="260">
        <v>10.390108</v>
      </c>
      <c r="BP194" s="260">
        <v>10.41882</v>
      </c>
      <c r="BQ194" s="260">
        <v>10.447426</v>
      </c>
      <c r="BR194" s="260">
        <v>10.475925</v>
      </c>
      <c r="BS194" s="260">
        <v>10.504318</v>
      </c>
      <c r="BT194" s="260">
        <v>10.532603999999999</v>
      </c>
      <c r="BU194" s="260">
        <v>10.560784</v>
      </c>
      <c r="BV194" s="260">
        <v>10.588854999999999</v>
      </c>
      <c r="BW194" s="260">
        <v>10.616819999999999</v>
      </c>
      <c r="BX194" s="260">
        <v>10.644677</v>
      </c>
      <c r="BY194" s="260">
        <v>10.672426</v>
      </c>
      <c r="BZ194" s="260">
        <v>10.700066999999999</v>
      </c>
      <c r="CA194" s="260">
        <v>10.727599</v>
      </c>
      <c r="CB194" s="260">
        <v>10.755023999999999</v>
      </c>
      <c r="CC194" s="260">
        <v>10.78234</v>
      </c>
      <c r="CD194" s="260">
        <v>10.809547999999999</v>
      </c>
      <c r="CE194" s="260">
        <v>10.836646</v>
      </c>
      <c r="CF194" s="260">
        <v>10.863636999999999</v>
      </c>
      <c r="CG194" s="260">
        <v>10.890518</v>
      </c>
      <c r="CH194" s="260">
        <v>10.917289999999999</v>
      </c>
    </row>
    <row r="195" spans="1:86" x14ac:dyDescent="0.25">
      <c r="A195" s="170">
        <v>2</v>
      </c>
      <c r="B195" s="170">
        <v>84</v>
      </c>
      <c r="C195" s="259">
        <v>7.961799144744873</v>
      </c>
      <c r="D195" s="259">
        <v>7.9996180534362793</v>
      </c>
      <c r="E195" s="259">
        <v>8.0372734069824219</v>
      </c>
      <c r="F195" s="259">
        <v>8.0747623443603516</v>
      </c>
      <c r="G195" s="259">
        <v>8.1120843887329102</v>
      </c>
      <c r="H195" s="259">
        <v>8.1492395401000977</v>
      </c>
      <c r="I195" s="260">
        <v>8.0622759999999989</v>
      </c>
      <c r="J195" s="260">
        <v>8.1011790000000001</v>
      </c>
      <c r="K195" s="260">
        <v>8.139035999999999</v>
      </c>
      <c r="L195" s="260">
        <v>8.1759190000000004</v>
      </c>
      <c r="M195" s="260">
        <v>8.2119090000000003</v>
      </c>
      <c r="N195" s="260">
        <v>8.2470979999999994</v>
      </c>
      <c r="O195" s="260">
        <v>8.2815899999999996</v>
      </c>
      <c r="P195" s="260">
        <v>8.3154869999999992</v>
      </c>
      <c r="Q195" s="260">
        <v>8.3488980000000002</v>
      </c>
      <c r="R195" s="260">
        <v>8.3819280000000003</v>
      </c>
      <c r="S195" s="260">
        <v>8.4146719999999995</v>
      </c>
      <c r="T195" s="260">
        <v>8.4472170000000002</v>
      </c>
      <c r="U195" s="260">
        <v>8.4796300000000002</v>
      </c>
      <c r="V195" s="260">
        <v>8.5119519999999991</v>
      </c>
      <c r="W195" s="260">
        <v>8.5442</v>
      </c>
      <c r="X195" s="260">
        <v>8.5763719999999992</v>
      </c>
      <c r="Y195" s="260">
        <v>8.6084680000000002</v>
      </c>
      <c r="Z195" s="260">
        <v>8.6404859999999992</v>
      </c>
      <c r="AA195" s="260">
        <v>8.6724259999999997</v>
      </c>
      <c r="AB195" s="260">
        <v>8.704286999999999</v>
      </c>
      <c r="AC195" s="260">
        <v>8.7360679999999995</v>
      </c>
      <c r="AD195" s="260">
        <v>8.7677680000000002</v>
      </c>
      <c r="AE195" s="260">
        <v>8.7993860000000002</v>
      </c>
      <c r="AF195" s="260">
        <v>8.8309219999999993</v>
      </c>
      <c r="AG195" s="260">
        <v>8.8623750000000001</v>
      </c>
      <c r="AH195" s="260">
        <v>8.8937439999999999</v>
      </c>
      <c r="AI195" s="260">
        <v>8.9250290000000003</v>
      </c>
      <c r="AJ195" s="260">
        <v>8.9562279999999994</v>
      </c>
      <c r="AK195" s="260">
        <v>8.9873409999999989</v>
      </c>
      <c r="AL195" s="260">
        <v>9.0183679999999988</v>
      </c>
      <c r="AM195" s="260">
        <v>9.0493069999999989</v>
      </c>
      <c r="AN195" s="260">
        <v>9.0801579999999991</v>
      </c>
      <c r="AO195" s="260">
        <v>9.1109200000000001</v>
      </c>
      <c r="AP195" s="260">
        <v>9.1415930000000003</v>
      </c>
      <c r="AQ195" s="260">
        <v>9.1721760000000003</v>
      </c>
      <c r="AR195" s="260">
        <v>9.2026679999999992</v>
      </c>
      <c r="AS195" s="260">
        <v>9.2330690000000004</v>
      </c>
      <c r="AT195" s="260">
        <v>9.2633789999999987</v>
      </c>
      <c r="AU195" s="260">
        <v>9.2935959999999991</v>
      </c>
      <c r="AV195" s="260">
        <v>9.3237199999999998</v>
      </c>
      <c r="AW195" s="260">
        <v>9.353750999999999</v>
      </c>
      <c r="AX195" s="260">
        <v>9.3836879999999994</v>
      </c>
      <c r="AY195" s="260">
        <v>9.4135299999999997</v>
      </c>
      <c r="AZ195" s="260">
        <v>9.4432779999999994</v>
      </c>
      <c r="BA195" s="260">
        <v>9.4729299999999999</v>
      </c>
      <c r="BB195" s="260">
        <v>9.5024859999999993</v>
      </c>
      <c r="BC195" s="260">
        <v>9.5319459999999996</v>
      </c>
      <c r="BD195" s="260">
        <v>9.5613089999999996</v>
      </c>
      <c r="BE195" s="260">
        <v>9.5905749999999994</v>
      </c>
      <c r="BF195" s="260">
        <v>9.619743999999999</v>
      </c>
      <c r="BG195" s="260">
        <v>9.6488139999999998</v>
      </c>
      <c r="BH195" s="260">
        <v>9.6777859999999993</v>
      </c>
      <c r="BI195" s="260">
        <v>9.7066590000000001</v>
      </c>
      <c r="BJ195" s="260">
        <v>9.7354330000000004</v>
      </c>
      <c r="BK195" s="260">
        <v>9.7641080000000002</v>
      </c>
      <c r="BL195" s="260">
        <v>9.7926830000000002</v>
      </c>
      <c r="BM195" s="260">
        <v>9.8211569999999995</v>
      </c>
      <c r="BN195" s="260">
        <v>9.8495309999999989</v>
      </c>
      <c r="BO195" s="260">
        <v>9.8778050000000004</v>
      </c>
      <c r="BP195" s="260">
        <v>9.905977</v>
      </c>
      <c r="BQ195" s="260">
        <v>9.9340479999999989</v>
      </c>
      <c r="BR195" s="260">
        <v>9.9620169999999995</v>
      </c>
      <c r="BS195" s="260">
        <v>9.989884</v>
      </c>
      <c r="BT195" s="260">
        <v>10.017648999999999</v>
      </c>
      <c r="BU195" s="260">
        <v>10.045311999999999</v>
      </c>
      <c r="BV195" s="260">
        <v>10.072873</v>
      </c>
      <c r="BW195" s="260">
        <v>10.10033</v>
      </c>
      <c r="BX195" s="260">
        <v>10.127685</v>
      </c>
      <c r="BY195" s="260">
        <v>10.154935999999999</v>
      </c>
      <c r="BZ195" s="260">
        <v>10.182084</v>
      </c>
      <c r="CA195" s="260">
        <v>10.209128</v>
      </c>
      <c r="CB195" s="260">
        <v>10.236068999999999</v>
      </c>
      <c r="CC195" s="260">
        <v>10.262905</v>
      </c>
      <c r="CD195" s="260">
        <v>10.289638</v>
      </c>
      <c r="CE195" s="260">
        <v>10.316267</v>
      </c>
      <c r="CF195" s="260">
        <v>10.342791</v>
      </c>
      <c r="CG195" s="260">
        <v>10.369211</v>
      </c>
      <c r="CH195" s="260">
        <v>10.395527</v>
      </c>
    </row>
    <row r="196" spans="1:86" x14ac:dyDescent="0.25">
      <c r="A196" s="170">
        <v>2</v>
      </c>
      <c r="B196" s="170">
        <v>85</v>
      </c>
      <c r="C196" s="259">
        <v>7.542360782623291</v>
      </c>
      <c r="D196" s="259">
        <v>7.5769162178039551</v>
      </c>
      <c r="E196" s="259">
        <v>7.6113438606262207</v>
      </c>
      <c r="F196" s="259">
        <v>7.6456432342529297</v>
      </c>
      <c r="G196" s="259">
        <v>7.6798129081726074</v>
      </c>
      <c r="H196" s="259">
        <v>7.7138528823852539</v>
      </c>
      <c r="I196" s="260">
        <v>7.6036079999999995</v>
      </c>
      <c r="J196" s="260">
        <v>7.6411979999999993</v>
      </c>
      <c r="K196" s="260">
        <v>7.6778179999999994</v>
      </c>
      <c r="L196" s="260">
        <v>7.7135309999999997</v>
      </c>
      <c r="M196" s="260">
        <v>7.7484089999999997</v>
      </c>
      <c r="N196" s="260">
        <v>7.7825369999999996</v>
      </c>
      <c r="O196" s="260">
        <v>7.8160080000000001</v>
      </c>
      <c r="P196" s="260">
        <v>7.8489189999999995</v>
      </c>
      <c r="Q196" s="260">
        <v>7.8813689999999994</v>
      </c>
      <c r="R196" s="260">
        <v>7.9134539999999998</v>
      </c>
      <c r="S196" s="260">
        <v>7.9452669999999994</v>
      </c>
      <c r="T196" s="260">
        <v>7.9768879999999998</v>
      </c>
      <c r="U196" s="260">
        <v>8.008381</v>
      </c>
      <c r="V196" s="260">
        <v>8.0397909999999992</v>
      </c>
      <c r="W196" s="260">
        <v>8.0711289999999991</v>
      </c>
      <c r="X196" s="260">
        <v>8.1023969999999998</v>
      </c>
      <c r="Y196" s="260">
        <v>8.1335920000000002</v>
      </c>
      <c r="Z196" s="260">
        <v>8.1647149999999993</v>
      </c>
      <c r="AA196" s="260">
        <v>8.1957640000000005</v>
      </c>
      <c r="AB196" s="260">
        <v>8.2267379999999992</v>
      </c>
      <c r="AC196" s="260">
        <v>8.257636999999999</v>
      </c>
      <c r="AD196" s="260">
        <v>8.2884599999999988</v>
      </c>
      <c r="AE196" s="260">
        <v>8.3192059999999994</v>
      </c>
      <c r="AF196" s="260">
        <v>8.3498739999999998</v>
      </c>
      <c r="AG196" s="260">
        <v>8.3804639999999999</v>
      </c>
      <c r="AH196" s="260">
        <v>8.4109739999999995</v>
      </c>
      <c r="AI196" s="260">
        <v>8.4414049999999996</v>
      </c>
      <c r="AJ196" s="260">
        <v>8.4717559999999992</v>
      </c>
      <c r="AK196" s="260">
        <v>8.5020249999999997</v>
      </c>
      <c r="AL196" s="260">
        <v>8.5322119999999995</v>
      </c>
      <c r="AM196" s="260">
        <v>8.5623170000000002</v>
      </c>
      <c r="AN196" s="260">
        <v>8.5923379999999998</v>
      </c>
      <c r="AO196" s="260">
        <v>8.6222759999999994</v>
      </c>
      <c r="AP196" s="260">
        <v>8.6521299999999997</v>
      </c>
      <c r="AQ196" s="260">
        <v>8.6818980000000003</v>
      </c>
      <c r="AR196" s="260">
        <v>8.7115809999999989</v>
      </c>
      <c r="AS196" s="260">
        <v>8.7411770000000004</v>
      </c>
      <c r="AT196" s="260">
        <v>8.7706869999999988</v>
      </c>
      <c r="AU196" s="260">
        <v>8.8001100000000001</v>
      </c>
      <c r="AV196" s="260">
        <v>8.8294449999999998</v>
      </c>
      <c r="AW196" s="260">
        <v>8.8586910000000003</v>
      </c>
      <c r="AX196" s="260">
        <v>8.887848</v>
      </c>
      <c r="AY196" s="260">
        <v>8.9169169999999998</v>
      </c>
      <c r="AZ196" s="260">
        <v>8.9458950000000002</v>
      </c>
      <c r="BA196" s="260">
        <v>8.9747830000000004</v>
      </c>
      <c r="BB196" s="260">
        <v>9.0035809999999987</v>
      </c>
      <c r="BC196" s="260">
        <v>9.0322870000000002</v>
      </c>
      <c r="BD196" s="260">
        <v>9.0609009999999994</v>
      </c>
      <c r="BE196" s="260">
        <v>9.0894239999999993</v>
      </c>
      <c r="BF196" s="260">
        <v>9.1178539999999995</v>
      </c>
      <c r="BG196" s="260">
        <v>9.146191</v>
      </c>
      <c r="BH196" s="260">
        <v>9.174434999999999</v>
      </c>
      <c r="BI196" s="260">
        <v>9.2025849999999991</v>
      </c>
      <c r="BJ196" s="260">
        <v>9.2306419999999996</v>
      </c>
      <c r="BK196" s="260">
        <v>9.2586040000000001</v>
      </c>
      <c r="BL196" s="260">
        <v>9.2864719999999998</v>
      </c>
      <c r="BM196" s="260">
        <v>9.3142440000000004</v>
      </c>
      <c r="BN196" s="260">
        <v>9.3419209999999993</v>
      </c>
      <c r="BO196" s="260">
        <v>9.3695029999999999</v>
      </c>
      <c r="BP196" s="260">
        <v>9.3969889999999996</v>
      </c>
      <c r="BQ196" s="260">
        <v>9.424377999999999</v>
      </c>
      <c r="BR196" s="260">
        <v>9.4516720000000003</v>
      </c>
      <c r="BS196" s="260">
        <v>9.4788680000000003</v>
      </c>
      <c r="BT196" s="260">
        <v>9.5059679999999993</v>
      </c>
      <c r="BU196" s="260">
        <v>9.5329709999999999</v>
      </c>
      <c r="BV196" s="260">
        <v>9.5598759999999992</v>
      </c>
      <c r="BW196" s="260">
        <v>9.586682999999999</v>
      </c>
      <c r="BX196" s="260">
        <v>9.6133930000000003</v>
      </c>
      <c r="BY196" s="260">
        <v>9.6400050000000004</v>
      </c>
      <c r="BZ196" s="260">
        <v>9.6665179999999999</v>
      </c>
      <c r="CA196" s="260">
        <v>9.6929339999999993</v>
      </c>
      <c r="CB196" s="260">
        <v>9.7192499999999988</v>
      </c>
      <c r="CC196" s="260">
        <v>9.7454679999999989</v>
      </c>
      <c r="CD196" s="260">
        <v>9.7715879999999995</v>
      </c>
      <c r="CE196" s="260">
        <v>9.7976080000000003</v>
      </c>
      <c r="CF196" s="260">
        <v>9.8235289999999988</v>
      </c>
      <c r="CG196" s="260">
        <v>9.8493510000000004</v>
      </c>
      <c r="CH196" s="260">
        <v>9.8750739999999997</v>
      </c>
    </row>
    <row r="197" spans="1:86" x14ac:dyDescent="0.25">
      <c r="A197" s="170">
        <v>2</v>
      </c>
      <c r="B197" s="170">
        <v>86</v>
      </c>
      <c r="C197" s="259">
        <v>7.1437058448791504</v>
      </c>
      <c r="D197" s="259">
        <v>7.1761598587036133</v>
      </c>
      <c r="E197" s="259">
        <v>7.2084970474243164</v>
      </c>
      <c r="F197" s="259">
        <v>7.2407140731811523</v>
      </c>
      <c r="G197" s="259">
        <v>7.2728109359741211</v>
      </c>
      <c r="H197" s="259">
        <v>7.3047890663146973</v>
      </c>
      <c r="I197" s="260">
        <v>7.1600329999999994</v>
      </c>
      <c r="J197" s="260">
        <v>7.1961019999999998</v>
      </c>
      <c r="K197" s="260">
        <v>7.2312779999999997</v>
      </c>
      <c r="L197" s="260">
        <v>7.2656159999999996</v>
      </c>
      <c r="M197" s="260">
        <v>7.2991809999999999</v>
      </c>
      <c r="N197" s="260">
        <v>7.3320499999999997</v>
      </c>
      <c r="O197" s="260">
        <v>7.3643079999999994</v>
      </c>
      <c r="P197" s="260">
        <v>7.3960429999999997</v>
      </c>
      <c r="Q197" s="260">
        <v>7.427346</v>
      </c>
      <c r="R197" s="260">
        <v>7.4583069999999996</v>
      </c>
      <c r="S197" s="260">
        <v>7.4890099999999995</v>
      </c>
      <c r="T197" s="260">
        <v>7.5195309999999997</v>
      </c>
      <c r="U197" s="260">
        <v>7.5499320000000001</v>
      </c>
      <c r="V197" s="260">
        <v>7.5802519999999998</v>
      </c>
      <c r="W197" s="260">
        <v>7.6105069999999992</v>
      </c>
      <c r="X197" s="260">
        <v>7.6406959999999993</v>
      </c>
      <c r="Y197" s="260">
        <v>7.6708159999999994</v>
      </c>
      <c r="Z197" s="260">
        <v>7.700869</v>
      </c>
      <c r="AA197" s="260">
        <v>7.7308529999999998</v>
      </c>
      <c r="AB197" s="260">
        <v>7.7607659999999994</v>
      </c>
      <c r="AC197" s="260">
        <v>7.79061</v>
      </c>
      <c r="AD197" s="260">
        <v>7.8203819999999995</v>
      </c>
      <c r="AE197" s="260">
        <v>7.8500819999999996</v>
      </c>
      <c r="AF197" s="260">
        <v>7.8797090000000001</v>
      </c>
      <c r="AG197" s="260">
        <v>7.9092629999999993</v>
      </c>
      <c r="AH197" s="260">
        <v>7.9387429999999997</v>
      </c>
      <c r="AI197" s="260">
        <v>7.9681479999999993</v>
      </c>
      <c r="AJ197" s="260">
        <v>7.9974769999999999</v>
      </c>
      <c r="AK197" s="260">
        <v>8.0267309999999998</v>
      </c>
      <c r="AL197" s="260">
        <v>8.0559069999999995</v>
      </c>
      <c r="AM197" s="260">
        <v>8.0850069999999992</v>
      </c>
      <c r="AN197" s="260">
        <v>8.1140279999999994</v>
      </c>
      <c r="AO197" s="260">
        <v>8.1429709999999993</v>
      </c>
      <c r="AP197" s="260">
        <v>8.1718349999999997</v>
      </c>
      <c r="AQ197" s="260">
        <v>8.2006189999999997</v>
      </c>
      <c r="AR197" s="260">
        <v>8.2293229999999991</v>
      </c>
      <c r="AS197" s="260">
        <v>8.2579460000000005</v>
      </c>
      <c r="AT197" s="260">
        <v>8.2864880000000003</v>
      </c>
      <c r="AU197" s="260">
        <v>8.3149479999999993</v>
      </c>
      <c r="AV197" s="260">
        <v>8.3433250000000001</v>
      </c>
      <c r="AW197" s="260">
        <v>8.3716200000000001</v>
      </c>
      <c r="AX197" s="260">
        <v>8.3998309999999989</v>
      </c>
      <c r="AY197" s="260">
        <v>8.4279589999999995</v>
      </c>
      <c r="AZ197" s="260">
        <v>8.4560019999999998</v>
      </c>
      <c r="BA197" s="260">
        <v>8.483960999999999</v>
      </c>
      <c r="BB197" s="260">
        <v>8.5118340000000003</v>
      </c>
      <c r="BC197" s="260">
        <v>8.5396219999999996</v>
      </c>
      <c r="BD197" s="260">
        <v>8.5673239999999993</v>
      </c>
      <c r="BE197" s="260">
        <v>8.5949390000000001</v>
      </c>
      <c r="BF197" s="260">
        <v>8.6224679999999996</v>
      </c>
      <c r="BG197" s="260">
        <v>8.6499089999999992</v>
      </c>
      <c r="BH197" s="260">
        <v>8.6772629999999999</v>
      </c>
      <c r="BI197" s="260">
        <v>8.7045300000000001</v>
      </c>
      <c r="BJ197" s="260">
        <v>8.7317079999999994</v>
      </c>
      <c r="BK197" s="260">
        <v>8.7587969999999995</v>
      </c>
      <c r="BL197" s="260">
        <v>8.7857969999999987</v>
      </c>
      <c r="BM197" s="260">
        <v>8.8127089999999999</v>
      </c>
      <c r="BN197" s="260">
        <v>8.8395309999999991</v>
      </c>
      <c r="BO197" s="260">
        <v>8.866263</v>
      </c>
      <c r="BP197" s="260">
        <v>8.8929039999999997</v>
      </c>
      <c r="BQ197" s="260">
        <v>8.9194560000000003</v>
      </c>
      <c r="BR197" s="260">
        <v>8.9459169999999997</v>
      </c>
      <c r="BS197" s="260">
        <v>8.9722869999999997</v>
      </c>
      <c r="BT197" s="260">
        <v>8.9985660000000003</v>
      </c>
      <c r="BU197" s="260">
        <v>9.0247539999999997</v>
      </c>
      <c r="BV197" s="260">
        <v>9.0508499999999987</v>
      </c>
      <c r="BW197" s="260">
        <v>9.0768550000000001</v>
      </c>
      <c r="BX197" s="260">
        <v>9.1027670000000001</v>
      </c>
      <c r="BY197" s="260">
        <v>9.1285869999999996</v>
      </c>
      <c r="BZ197" s="260">
        <v>9.1543150000000004</v>
      </c>
      <c r="CA197" s="260">
        <v>9.1799509999999991</v>
      </c>
      <c r="CB197" s="260">
        <v>9.2054929999999988</v>
      </c>
      <c r="CC197" s="260">
        <v>9.2309429999999999</v>
      </c>
      <c r="CD197" s="260">
        <v>9.2562999999999995</v>
      </c>
      <c r="CE197" s="260">
        <v>9.2815639999999995</v>
      </c>
      <c r="CF197" s="260">
        <v>9.3067349999999998</v>
      </c>
      <c r="CG197" s="260">
        <v>9.3318119999999993</v>
      </c>
      <c r="CH197" s="260">
        <v>9.3567959999999992</v>
      </c>
    </row>
    <row r="198" spans="1:86" x14ac:dyDescent="0.25">
      <c r="A198" s="170">
        <v>2</v>
      </c>
      <c r="B198" s="170">
        <v>87</v>
      </c>
      <c r="C198" s="259">
        <v>6.7537040710449219</v>
      </c>
      <c r="D198" s="259">
        <v>6.7837920188903809</v>
      </c>
      <c r="E198" s="259">
        <v>6.8137741088867188</v>
      </c>
      <c r="F198" s="259">
        <v>6.8436470031738281</v>
      </c>
      <c r="G198" s="259">
        <v>6.8734130859375</v>
      </c>
      <c r="H198" s="259">
        <v>6.9030699729919434</v>
      </c>
      <c r="I198" s="260">
        <v>6.7324820000000001</v>
      </c>
      <c r="J198" s="260">
        <v>6.7668229999999996</v>
      </c>
      <c r="K198" s="260">
        <v>6.8003479999999996</v>
      </c>
      <c r="L198" s="260">
        <v>6.8331049999999998</v>
      </c>
      <c r="M198" s="260">
        <v>6.8651539999999995</v>
      </c>
      <c r="N198" s="260">
        <v>6.8965609999999993</v>
      </c>
      <c r="O198" s="260">
        <v>6.9274049999999994</v>
      </c>
      <c r="P198" s="260">
        <v>6.9577649999999993</v>
      </c>
      <c r="Q198" s="260">
        <v>6.9877259999999994</v>
      </c>
      <c r="R198" s="260">
        <v>7.0173689999999995</v>
      </c>
      <c r="S198" s="260">
        <v>7.046773</v>
      </c>
      <c r="T198" s="260">
        <v>7.0760069999999997</v>
      </c>
      <c r="U198" s="260">
        <v>7.1051279999999997</v>
      </c>
      <c r="V198" s="260">
        <v>7.1341739999999998</v>
      </c>
      <c r="W198" s="260">
        <v>7.1631589999999994</v>
      </c>
      <c r="X198" s="260">
        <v>7.1920829999999993</v>
      </c>
      <c r="Y198" s="260">
        <v>7.2209439999999994</v>
      </c>
      <c r="Z198" s="260">
        <v>7.2497409999999993</v>
      </c>
      <c r="AA198" s="260">
        <v>7.2784740000000001</v>
      </c>
      <c r="AB198" s="260">
        <v>7.3071429999999999</v>
      </c>
      <c r="AC198" s="260">
        <v>7.3357459999999994</v>
      </c>
      <c r="AD198" s="260">
        <v>7.3642829999999995</v>
      </c>
      <c r="AE198" s="260">
        <v>7.392754</v>
      </c>
      <c r="AF198" s="260">
        <v>7.421157</v>
      </c>
      <c r="AG198" s="260">
        <v>7.4494910000000001</v>
      </c>
      <c r="AH198" s="260">
        <v>7.4777569999999995</v>
      </c>
      <c r="AI198" s="260">
        <v>7.505954</v>
      </c>
      <c r="AJ198" s="260">
        <v>7.5340809999999996</v>
      </c>
      <c r="AK198" s="260">
        <v>7.5621369999999999</v>
      </c>
      <c r="AL198" s="260">
        <v>7.590122</v>
      </c>
      <c r="AM198" s="260">
        <v>7.6180349999999999</v>
      </c>
      <c r="AN198" s="260">
        <v>7.6458759999999995</v>
      </c>
      <c r="AO198" s="260">
        <v>7.6736439999999995</v>
      </c>
      <c r="AP198" s="260">
        <v>7.7013379999999998</v>
      </c>
      <c r="AQ198" s="260">
        <v>7.7289589999999997</v>
      </c>
      <c r="AR198" s="260">
        <v>7.7565059999999999</v>
      </c>
      <c r="AS198" s="260">
        <v>7.7839769999999993</v>
      </c>
      <c r="AT198" s="260">
        <v>7.8113729999999997</v>
      </c>
      <c r="AU198" s="260">
        <v>7.8386929999999992</v>
      </c>
      <c r="AV198" s="260">
        <v>7.8659369999999997</v>
      </c>
      <c r="AW198" s="260">
        <v>7.893103</v>
      </c>
      <c r="AX198" s="260">
        <v>7.9201929999999994</v>
      </c>
      <c r="AY198" s="260">
        <v>7.9472049999999994</v>
      </c>
      <c r="AZ198" s="260">
        <v>7.9741379999999999</v>
      </c>
      <c r="BA198" s="260">
        <v>8.0009929999999994</v>
      </c>
      <c r="BB198" s="260">
        <v>8.0277689999999993</v>
      </c>
      <c r="BC198" s="260">
        <v>8.0544659999999997</v>
      </c>
      <c r="BD198" s="260">
        <v>8.0810829999999996</v>
      </c>
      <c r="BE198" s="260">
        <v>8.1076199999999989</v>
      </c>
      <c r="BF198" s="260">
        <v>8.1340760000000003</v>
      </c>
      <c r="BG198" s="260">
        <v>8.1604510000000001</v>
      </c>
      <c r="BH198" s="260">
        <v>8.1867450000000002</v>
      </c>
      <c r="BI198" s="260">
        <v>8.2129580000000004</v>
      </c>
      <c r="BJ198" s="260">
        <v>8.2390889999999999</v>
      </c>
      <c r="BK198" s="260">
        <v>8.2651369999999993</v>
      </c>
      <c r="BL198" s="260">
        <v>8.2911029999999997</v>
      </c>
      <c r="BM198" s="260">
        <v>8.316986</v>
      </c>
      <c r="BN198" s="260">
        <v>8.3427860000000003</v>
      </c>
      <c r="BO198" s="260">
        <v>8.3685030000000005</v>
      </c>
      <c r="BP198" s="260">
        <v>8.3941359999999996</v>
      </c>
      <c r="BQ198" s="260">
        <v>8.4196849999999994</v>
      </c>
      <c r="BR198" s="260">
        <v>8.4451509999999992</v>
      </c>
      <c r="BS198" s="260">
        <v>8.4705309999999994</v>
      </c>
      <c r="BT198" s="260">
        <v>8.4958270000000002</v>
      </c>
      <c r="BU198" s="260">
        <v>8.521039</v>
      </c>
      <c r="BV198" s="260">
        <v>8.5461650000000002</v>
      </c>
      <c r="BW198" s="260">
        <v>8.5712060000000001</v>
      </c>
      <c r="BX198" s="260">
        <v>8.5961619999999996</v>
      </c>
      <c r="BY198" s="260">
        <v>8.6210319999999996</v>
      </c>
      <c r="BZ198" s="260">
        <v>8.6458159999999999</v>
      </c>
      <c r="CA198" s="260">
        <v>8.6705139999999989</v>
      </c>
      <c r="CB198" s="260">
        <v>8.6951260000000001</v>
      </c>
      <c r="CC198" s="260">
        <v>8.719652</v>
      </c>
      <c r="CD198" s="260">
        <v>8.7440920000000002</v>
      </c>
      <c r="CE198" s="260">
        <v>8.7684439999999988</v>
      </c>
      <c r="CF198" s="260">
        <v>8.7927109999999988</v>
      </c>
      <c r="CG198" s="260">
        <v>8.816889999999999</v>
      </c>
      <c r="CH198" s="260">
        <v>8.8409820000000003</v>
      </c>
    </row>
    <row r="199" spans="1:86" x14ac:dyDescent="0.25">
      <c r="A199" s="170">
        <v>2</v>
      </c>
      <c r="B199" s="170">
        <v>88</v>
      </c>
      <c r="C199" s="259">
        <v>6.3715419769287109</v>
      </c>
      <c r="D199" s="259">
        <v>6.3989691734313965</v>
      </c>
      <c r="E199" s="259">
        <v>6.4263029098510742</v>
      </c>
      <c r="F199" s="259">
        <v>6.4535441398620605</v>
      </c>
      <c r="G199" s="259">
        <v>6.4806909561157227</v>
      </c>
      <c r="H199" s="259">
        <v>6.5077438354492188</v>
      </c>
      <c r="I199" s="260">
        <v>6.32097</v>
      </c>
      <c r="J199" s="260">
        <v>6.3533840000000001</v>
      </c>
      <c r="K199" s="260">
        <v>6.385059</v>
      </c>
      <c r="L199" s="260">
        <v>6.4160339999999998</v>
      </c>
      <c r="M199" s="260">
        <v>6.4463609999999996</v>
      </c>
      <c r="N199" s="260">
        <v>6.476102</v>
      </c>
      <c r="O199" s="260">
        <v>6.5053259999999993</v>
      </c>
      <c r="P199" s="260">
        <v>6.5341069999999997</v>
      </c>
      <c r="Q199" s="260">
        <v>6.5625219999999995</v>
      </c>
      <c r="R199" s="260">
        <v>6.5906449999999994</v>
      </c>
      <c r="S199" s="260">
        <v>6.6185499999999999</v>
      </c>
      <c r="T199" s="260">
        <v>6.6462979999999998</v>
      </c>
      <c r="U199" s="260">
        <v>6.6739419999999994</v>
      </c>
      <c r="V199" s="260">
        <v>6.7015180000000001</v>
      </c>
      <c r="W199" s="260">
        <v>6.7290380000000001</v>
      </c>
      <c r="X199" s="260">
        <v>6.7565010000000001</v>
      </c>
      <c r="Y199" s="260">
        <v>6.783906</v>
      </c>
      <c r="Z199" s="260">
        <v>6.8112539999999999</v>
      </c>
      <c r="AA199" s="260">
        <v>6.8385429999999996</v>
      </c>
      <c r="AB199" s="260">
        <v>6.8657729999999999</v>
      </c>
      <c r="AC199" s="260">
        <v>6.8929429999999998</v>
      </c>
      <c r="AD199" s="260">
        <v>6.9200520000000001</v>
      </c>
      <c r="AE199" s="260">
        <v>6.9470999999999998</v>
      </c>
      <c r="AF199" s="260">
        <v>6.9740869999999999</v>
      </c>
      <c r="AG199" s="260">
        <v>7.0010110000000001</v>
      </c>
      <c r="AH199" s="260">
        <v>7.0278719999999995</v>
      </c>
      <c r="AI199" s="260">
        <v>7.0546699999999998</v>
      </c>
      <c r="AJ199" s="260">
        <v>7.081404</v>
      </c>
      <c r="AK199" s="260">
        <v>7.1080739999999993</v>
      </c>
      <c r="AL199" s="260">
        <v>7.1346780000000001</v>
      </c>
      <c r="AM199" s="260">
        <v>7.1612169999999997</v>
      </c>
      <c r="AN199" s="260">
        <v>7.1876899999999999</v>
      </c>
      <c r="AO199" s="260">
        <v>7.2140959999999996</v>
      </c>
      <c r="AP199" s="260">
        <v>7.2404349999999997</v>
      </c>
      <c r="AQ199" s="260">
        <v>7.2667069999999994</v>
      </c>
      <c r="AR199" s="260">
        <v>7.29291</v>
      </c>
      <c r="AS199" s="260">
        <v>7.319045</v>
      </c>
      <c r="AT199" s="260">
        <v>7.3451109999999993</v>
      </c>
      <c r="AU199" s="260">
        <v>7.3711079999999995</v>
      </c>
      <c r="AV199" s="260">
        <v>7.3970349999999998</v>
      </c>
      <c r="AW199" s="260">
        <v>7.422892</v>
      </c>
      <c r="AX199" s="260">
        <v>7.4486779999999992</v>
      </c>
      <c r="AY199" s="260">
        <v>7.4743939999999993</v>
      </c>
      <c r="AZ199" s="260">
        <v>7.5000369999999998</v>
      </c>
      <c r="BA199" s="260">
        <v>7.5256089999999993</v>
      </c>
      <c r="BB199" s="260">
        <v>7.5511089999999994</v>
      </c>
      <c r="BC199" s="260">
        <v>7.5765370000000001</v>
      </c>
      <c r="BD199" s="260">
        <v>7.6018909999999993</v>
      </c>
      <c r="BE199" s="260">
        <v>7.6271719999999998</v>
      </c>
      <c r="BF199" s="260">
        <v>7.65238</v>
      </c>
      <c r="BG199" s="260">
        <v>7.6775139999999995</v>
      </c>
      <c r="BH199" s="260">
        <v>7.7025729999999992</v>
      </c>
      <c r="BI199" s="260">
        <v>7.7275579999999993</v>
      </c>
      <c r="BJ199" s="260">
        <v>7.7524689999999996</v>
      </c>
      <c r="BK199" s="260">
        <v>7.777304</v>
      </c>
      <c r="BL199" s="260">
        <v>7.8020629999999995</v>
      </c>
      <c r="BM199" s="260">
        <v>7.8267479999999994</v>
      </c>
      <c r="BN199" s="260">
        <v>7.851356</v>
      </c>
      <c r="BO199" s="260">
        <v>7.8758879999999998</v>
      </c>
      <c r="BP199" s="260">
        <v>7.9003429999999994</v>
      </c>
      <c r="BQ199" s="260">
        <v>7.924722</v>
      </c>
      <c r="BR199" s="260">
        <v>7.9490239999999996</v>
      </c>
      <c r="BS199" s="260">
        <v>7.973249</v>
      </c>
      <c r="BT199" s="260">
        <v>7.9973959999999993</v>
      </c>
      <c r="BU199" s="260">
        <v>8.0214660000000002</v>
      </c>
      <c r="BV199" s="260">
        <v>8.0454589999999993</v>
      </c>
      <c r="BW199" s="260">
        <v>8.0693729999999988</v>
      </c>
      <c r="BX199" s="260">
        <v>8.0932089999999999</v>
      </c>
      <c r="BY199" s="260">
        <v>8.1169669999999989</v>
      </c>
      <c r="BZ199" s="260">
        <v>8.1406460000000003</v>
      </c>
      <c r="CA199" s="260">
        <v>8.1642469999999996</v>
      </c>
      <c r="CB199" s="260">
        <v>8.1877689999999994</v>
      </c>
      <c r="CC199" s="260">
        <v>8.2112110000000005</v>
      </c>
      <c r="CD199" s="260">
        <v>8.2345749999999995</v>
      </c>
      <c r="CE199" s="260">
        <v>8.2578599999999991</v>
      </c>
      <c r="CF199" s="260">
        <v>8.2810649999999999</v>
      </c>
      <c r="CG199" s="260">
        <v>8.3041909999999994</v>
      </c>
      <c r="CH199" s="260">
        <v>8.3272370000000002</v>
      </c>
    </row>
    <row r="200" spans="1:86" x14ac:dyDescent="0.25">
      <c r="A200" s="170">
        <v>2</v>
      </c>
      <c r="B200" s="170">
        <v>89</v>
      </c>
      <c r="C200" s="259">
        <v>5.9970669746398926</v>
      </c>
      <c r="D200" s="259">
        <v>6.0214910507202148</v>
      </c>
      <c r="E200" s="259">
        <v>6.045839786529541</v>
      </c>
      <c r="F200" s="259">
        <v>6.0701150894165039</v>
      </c>
      <c r="G200" s="259">
        <v>6.0943140983581543</v>
      </c>
      <c r="H200" s="259">
        <v>6.1184391975402832</v>
      </c>
      <c r="I200" s="260">
        <v>5.9245999999999999</v>
      </c>
      <c r="J200" s="260">
        <v>5.9548999999999994</v>
      </c>
      <c r="K200" s="260">
        <v>5.9845309999999996</v>
      </c>
      <c r="L200" s="260">
        <v>6.013528</v>
      </c>
      <c r="M200" s="260">
        <v>6.0419349999999996</v>
      </c>
      <c r="N200" s="260">
        <v>6.0698059999999998</v>
      </c>
      <c r="O200" s="260">
        <v>6.0972049999999998</v>
      </c>
      <c r="P200" s="260">
        <v>6.1241989999999999</v>
      </c>
      <c r="Q200" s="260">
        <v>6.1508579999999995</v>
      </c>
      <c r="R200" s="260">
        <v>6.1772519999999993</v>
      </c>
      <c r="S200" s="260">
        <v>6.2034469999999997</v>
      </c>
      <c r="T200" s="260">
        <v>6.229501</v>
      </c>
      <c r="U200" s="260">
        <v>6.2554609999999995</v>
      </c>
      <c r="V200" s="260">
        <v>6.2813590000000001</v>
      </c>
      <c r="W200" s="260">
        <v>6.3072080000000001</v>
      </c>
      <c r="X200" s="260">
        <v>6.333005</v>
      </c>
      <c r="Y200" s="260">
        <v>6.358752</v>
      </c>
      <c r="Z200" s="260">
        <v>6.3844459999999996</v>
      </c>
      <c r="AA200" s="260">
        <v>6.410088</v>
      </c>
      <c r="AB200" s="260">
        <v>6.435676</v>
      </c>
      <c r="AC200" s="260">
        <v>6.4612119999999997</v>
      </c>
      <c r="AD200" s="260">
        <v>6.4866929999999998</v>
      </c>
      <c r="AE200" s="260">
        <v>6.5121189999999993</v>
      </c>
      <c r="AF200" s="260">
        <v>6.53749</v>
      </c>
      <c r="AG200" s="260">
        <v>6.562805</v>
      </c>
      <c r="AH200" s="260">
        <v>6.5880649999999994</v>
      </c>
      <c r="AI200" s="260">
        <v>6.6132669999999996</v>
      </c>
      <c r="AJ200" s="260">
        <v>6.6384119999999998</v>
      </c>
      <c r="AK200" s="260">
        <v>6.6635</v>
      </c>
      <c r="AL200" s="260">
        <v>6.6885289999999999</v>
      </c>
      <c r="AM200" s="260">
        <v>6.7134999999999998</v>
      </c>
      <c r="AN200" s="260">
        <v>6.7384119999999994</v>
      </c>
      <c r="AO200" s="260">
        <v>6.7632639999999995</v>
      </c>
      <c r="AP200" s="260">
        <v>6.7880560000000001</v>
      </c>
      <c r="AQ200" s="260">
        <v>6.8127879999999994</v>
      </c>
      <c r="AR200" s="260">
        <v>6.8374600000000001</v>
      </c>
      <c r="AS200" s="260">
        <v>6.8620700000000001</v>
      </c>
      <c r="AT200" s="260">
        <v>6.8866179999999995</v>
      </c>
      <c r="AU200" s="260">
        <v>6.9111050000000001</v>
      </c>
      <c r="AV200" s="260">
        <v>6.9355289999999998</v>
      </c>
      <c r="AW200" s="260">
        <v>6.9598899999999997</v>
      </c>
      <c r="AX200" s="260">
        <v>6.9841879999999996</v>
      </c>
      <c r="AY200" s="260">
        <v>7.0084229999999996</v>
      </c>
      <c r="AZ200" s="260">
        <v>7.0325939999999996</v>
      </c>
      <c r="BA200" s="260">
        <v>7.0567009999999994</v>
      </c>
      <c r="BB200" s="260">
        <v>7.0807439999999993</v>
      </c>
      <c r="BC200" s="260">
        <v>7.1047209999999996</v>
      </c>
      <c r="BD200" s="260">
        <v>7.1286339999999999</v>
      </c>
      <c r="BE200" s="260">
        <v>7.1524809999999999</v>
      </c>
      <c r="BF200" s="260">
        <v>7.1762619999999995</v>
      </c>
      <c r="BG200" s="260">
        <v>7.1999769999999996</v>
      </c>
      <c r="BH200" s="260">
        <v>7.2236259999999994</v>
      </c>
      <c r="BI200" s="260">
        <v>7.2472079999999997</v>
      </c>
      <c r="BJ200" s="260">
        <v>7.2707239999999995</v>
      </c>
      <c r="BK200" s="260">
        <v>7.2941719999999997</v>
      </c>
      <c r="BL200" s="260">
        <v>7.3175529999999993</v>
      </c>
      <c r="BM200" s="260">
        <v>7.3408659999999992</v>
      </c>
      <c r="BN200" s="260">
        <v>7.3641109999999994</v>
      </c>
      <c r="BO200" s="260">
        <v>7.3872879999999999</v>
      </c>
      <c r="BP200" s="260">
        <v>7.4103969999999997</v>
      </c>
      <c r="BQ200" s="260">
        <v>7.4334369999999996</v>
      </c>
      <c r="BR200" s="260">
        <v>7.4564089999999998</v>
      </c>
      <c r="BS200" s="260">
        <v>7.479311</v>
      </c>
      <c r="BT200" s="260">
        <v>7.5021439999999995</v>
      </c>
      <c r="BU200" s="260">
        <v>7.5249079999999999</v>
      </c>
      <c r="BV200" s="260">
        <v>7.5476019999999995</v>
      </c>
      <c r="BW200" s="260">
        <v>7.570227</v>
      </c>
      <c r="BX200" s="260">
        <v>7.5927809999999996</v>
      </c>
      <c r="BY200" s="260">
        <v>7.615265</v>
      </c>
      <c r="BZ200" s="260">
        <v>7.6376789999999994</v>
      </c>
      <c r="CA200" s="260">
        <v>7.6600229999999998</v>
      </c>
      <c r="CB200" s="260">
        <v>7.682296</v>
      </c>
      <c r="CC200" s="260">
        <v>7.7044980000000001</v>
      </c>
      <c r="CD200" s="260">
        <v>7.726629</v>
      </c>
      <c r="CE200" s="260">
        <v>7.7486899999999999</v>
      </c>
      <c r="CF200" s="260">
        <v>7.7706789999999994</v>
      </c>
      <c r="CG200" s="260">
        <v>7.7925969999999998</v>
      </c>
      <c r="CH200" s="260">
        <v>7.8144439999999999</v>
      </c>
    </row>
    <row r="201" spans="1:86" x14ac:dyDescent="0.25">
      <c r="A201" s="170">
        <v>2</v>
      </c>
      <c r="B201" s="170">
        <v>90</v>
      </c>
      <c r="C201" s="259">
        <v>5.6307239532470703</v>
      </c>
      <c r="D201" s="259">
        <v>5.6517300605773926</v>
      </c>
      <c r="E201" s="259">
        <v>5.6726880073547363</v>
      </c>
      <c r="F201" s="259">
        <v>5.6935968399047852</v>
      </c>
      <c r="G201" s="259">
        <v>5.7144560813903809</v>
      </c>
      <c r="H201" s="259">
        <v>5.7352662086486816</v>
      </c>
      <c r="I201" s="260">
        <v>5.541582</v>
      </c>
      <c r="J201" s="260">
        <v>5.569598</v>
      </c>
      <c r="K201" s="260">
        <v>5.5970079999999998</v>
      </c>
      <c r="L201" s="260">
        <v>5.6238399999999995</v>
      </c>
      <c r="M201" s="260">
        <v>5.6501349999999997</v>
      </c>
      <c r="N201" s="260">
        <v>5.6759389999999996</v>
      </c>
      <c r="O201" s="260">
        <v>5.7013090000000002</v>
      </c>
      <c r="P201" s="260">
        <v>5.7263069999999994</v>
      </c>
      <c r="Q201" s="260">
        <v>5.7509969999999999</v>
      </c>
      <c r="R201" s="260">
        <v>5.7754439999999994</v>
      </c>
      <c r="S201" s="260">
        <v>5.7997100000000001</v>
      </c>
      <c r="T201" s="260">
        <v>5.8238499999999993</v>
      </c>
      <c r="U201" s="260">
        <v>5.8479079999999994</v>
      </c>
      <c r="V201" s="260">
        <v>5.8719109999999999</v>
      </c>
      <c r="W201" s="260">
        <v>5.8958719999999998</v>
      </c>
      <c r="X201" s="260">
        <v>5.9197889999999997</v>
      </c>
      <c r="Y201" s="260">
        <v>5.9436609999999996</v>
      </c>
      <c r="Z201" s="260">
        <v>5.9674889999999996</v>
      </c>
      <c r="AA201" s="260">
        <v>5.9912719999999995</v>
      </c>
      <c r="AB201" s="260">
        <v>6.0150090000000001</v>
      </c>
      <c r="AC201" s="260">
        <v>6.0386999999999995</v>
      </c>
      <c r="AD201" s="260">
        <v>6.0623439999999995</v>
      </c>
      <c r="AE201" s="260">
        <v>6.0859419999999993</v>
      </c>
      <c r="AF201" s="260">
        <v>6.1094909999999993</v>
      </c>
      <c r="AG201" s="260">
        <v>6.1329929999999999</v>
      </c>
      <c r="AH201" s="260">
        <v>6.1564459999999999</v>
      </c>
      <c r="AI201" s="260">
        <v>6.1798500000000001</v>
      </c>
      <c r="AJ201" s="260">
        <v>6.2032049999999996</v>
      </c>
      <c r="AK201" s="260">
        <v>6.2265109999999995</v>
      </c>
      <c r="AL201" s="260">
        <v>6.2497660000000002</v>
      </c>
      <c r="AM201" s="260">
        <v>6.2729710000000001</v>
      </c>
      <c r="AN201" s="260">
        <v>6.296125</v>
      </c>
      <c r="AO201" s="260">
        <v>6.3192279999999998</v>
      </c>
      <c r="AP201" s="260">
        <v>6.3422779999999994</v>
      </c>
      <c r="AQ201" s="260">
        <v>6.3652769999999999</v>
      </c>
      <c r="AR201" s="260">
        <v>6.3882240000000001</v>
      </c>
      <c r="AS201" s="260">
        <v>6.4111180000000001</v>
      </c>
      <c r="AT201" s="260">
        <v>6.4339579999999996</v>
      </c>
      <c r="AU201" s="260">
        <v>6.4567449999999997</v>
      </c>
      <c r="AV201" s="260">
        <v>6.4794789999999995</v>
      </c>
      <c r="AW201" s="260">
        <v>6.5021579999999997</v>
      </c>
      <c r="AX201" s="260">
        <v>6.5247829999999993</v>
      </c>
      <c r="AY201" s="260">
        <v>6.5473529999999993</v>
      </c>
      <c r="AZ201" s="260">
        <v>6.5698669999999995</v>
      </c>
      <c r="BA201" s="260">
        <v>6.592327</v>
      </c>
      <c r="BB201" s="260">
        <v>6.6147309999999999</v>
      </c>
      <c r="BC201" s="260">
        <v>6.6370779999999998</v>
      </c>
      <c r="BD201" s="260">
        <v>6.65937</v>
      </c>
      <c r="BE201" s="260">
        <v>6.6816049999999994</v>
      </c>
      <c r="BF201" s="260">
        <v>6.7037829999999996</v>
      </c>
      <c r="BG201" s="260">
        <v>6.7259029999999997</v>
      </c>
      <c r="BH201" s="260">
        <v>6.747967</v>
      </c>
      <c r="BI201" s="260">
        <v>6.7699729999999994</v>
      </c>
      <c r="BJ201" s="260">
        <v>6.7919209999999994</v>
      </c>
      <c r="BK201" s="260">
        <v>6.8138109999999994</v>
      </c>
      <c r="BL201" s="260">
        <v>6.835642</v>
      </c>
      <c r="BM201" s="260">
        <v>6.8574149999999996</v>
      </c>
      <c r="BN201" s="260">
        <v>6.8791289999999998</v>
      </c>
      <c r="BO201" s="260">
        <v>6.9007839999999998</v>
      </c>
      <c r="BP201" s="260">
        <v>6.9223799999999995</v>
      </c>
      <c r="BQ201" s="260">
        <v>6.9439159999999998</v>
      </c>
      <c r="BR201" s="260">
        <v>6.9653929999999997</v>
      </c>
      <c r="BS201" s="260">
        <v>6.986809</v>
      </c>
      <c r="BT201" s="260">
        <v>7.0081660000000001</v>
      </c>
      <c r="BU201" s="260">
        <v>7.0294619999999997</v>
      </c>
      <c r="BV201" s="260">
        <v>7.0506979999999997</v>
      </c>
      <c r="BW201" s="260">
        <v>7.0718739999999993</v>
      </c>
      <c r="BX201" s="260">
        <v>7.0929889999999993</v>
      </c>
      <c r="BY201" s="260">
        <v>7.1140419999999995</v>
      </c>
      <c r="BZ201" s="260">
        <v>7.1350349999999993</v>
      </c>
      <c r="CA201" s="260">
        <v>7.1559659999999994</v>
      </c>
      <c r="CB201" s="260">
        <v>7.1768359999999998</v>
      </c>
      <c r="CC201" s="260">
        <v>7.1976449999999996</v>
      </c>
      <c r="CD201" s="260">
        <v>7.2183909999999996</v>
      </c>
      <c r="CE201" s="260">
        <v>7.2390759999999998</v>
      </c>
      <c r="CF201" s="260">
        <v>7.2596989999999995</v>
      </c>
      <c r="CG201" s="260">
        <v>7.2802599999999993</v>
      </c>
      <c r="CH201" s="260">
        <v>7.3007589999999993</v>
      </c>
    </row>
    <row r="202" spans="1:86" x14ac:dyDescent="0.25">
      <c r="A202" s="170">
        <v>2</v>
      </c>
      <c r="B202" s="170">
        <v>91</v>
      </c>
      <c r="C202" s="259">
        <v>5.2871060371398926</v>
      </c>
      <c r="D202" s="259">
        <v>5.3063287734985352</v>
      </c>
      <c r="E202" s="259">
        <v>5.3255062103271484</v>
      </c>
      <c r="F202" s="259">
        <v>5.3446340560913086</v>
      </c>
      <c r="G202" s="259">
        <v>5.3637142181396484</v>
      </c>
      <c r="H202" s="259">
        <v>5.3827447891235352</v>
      </c>
      <c r="I202" s="260">
        <v>5.1695469999999997</v>
      </c>
      <c r="J202" s="260">
        <v>5.195125</v>
      </c>
      <c r="K202" s="260">
        <v>5.2201499999999994</v>
      </c>
      <c r="L202" s="260">
        <v>5.2446449999999993</v>
      </c>
      <c r="M202" s="260">
        <v>5.2686440000000001</v>
      </c>
      <c r="N202" s="260">
        <v>5.2921879999999994</v>
      </c>
      <c r="O202" s="260">
        <v>5.3153280000000001</v>
      </c>
      <c r="P202" s="260">
        <v>5.3381210000000001</v>
      </c>
      <c r="Q202" s="260">
        <v>5.3606249999999998</v>
      </c>
      <c r="R202" s="260">
        <v>5.3829029999999998</v>
      </c>
      <c r="S202" s="260">
        <v>5.4050120000000001</v>
      </c>
      <c r="T202" s="260">
        <v>5.4270049999999994</v>
      </c>
      <c r="U202" s="260">
        <v>5.448925</v>
      </c>
      <c r="V202" s="260">
        <v>5.4708009999999998</v>
      </c>
      <c r="W202" s="260">
        <v>5.492642</v>
      </c>
      <c r="X202" s="260">
        <v>5.5144489999999999</v>
      </c>
      <c r="Y202" s="260">
        <v>5.5362209999999994</v>
      </c>
      <c r="Z202" s="260">
        <v>5.5579559999999999</v>
      </c>
      <c r="AA202" s="260">
        <v>5.5796559999999999</v>
      </c>
      <c r="AB202" s="260">
        <v>5.6013190000000002</v>
      </c>
      <c r="AC202" s="260">
        <v>5.6229449999999996</v>
      </c>
      <c r="AD202" s="260">
        <v>5.6445340000000002</v>
      </c>
      <c r="AE202" s="260">
        <v>5.6660849999999998</v>
      </c>
      <c r="AF202" s="260">
        <v>5.6875979999999995</v>
      </c>
      <c r="AG202" s="260">
        <v>5.7090730000000001</v>
      </c>
      <c r="AH202" s="260">
        <v>5.7305079999999995</v>
      </c>
      <c r="AI202" s="260">
        <v>5.7519049999999998</v>
      </c>
      <c r="AJ202" s="260">
        <v>5.7732609999999998</v>
      </c>
      <c r="AK202" s="260">
        <v>5.7945779999999996</v>
      </c>
      <c r="AL202" s="260">
        <v>5.8158539999999999</v>
      </c>
      <c r="AM202" s="260">
        <v>5.8370899999999999</v>
      </c>
      <c r="AN202" s="260">
        <v>5.8582839999999994</v>
      </c>
      <c r="AO202" s="260">
        <v>5.8794369999999994</v>
      </c>
      <c r="AP202" s="260">
        <v>5.9005479999999997</v>
      </c>
      <c r="AQ202" s="260">
        <v>5.9216169999999995</v>
      </c>
      <c r="AR202" s="260">
        <v>5.9426429999999995</v>
      </c>
      <c r="AS202" s="260">
        <v>5.9636269999999998</v>
      </c>
      <c r="AT202" s="260">
        <v>5.9845669999999993</v>
      </c>
      <c r="AU202" s="260">
        <v>6.0054639999999999</v>
      </c>
      <c r="AV202" s="260">
        <v>6.0263179999999998</v>
      </c>
      <c r="AW202" s="260">
        <v>6.0471269999999997</v>
      </c>
      <c r="AX202" s="260">
        <v>6.0678919999999996</v>
      </c>
      <c r="AY202" s="260">
        <v>6.0886119999999995</v>
      </c>
      <c r="AZ202" s="260">
        <v>6.1092870000000001</v>
      </c>
      <c r="BA202" s="260">
        <v>6.129918</v>
      </c>
      <c r="BB202" s="260">
        <v>6.1505019999999995</v>
      </c>
      <c r="BC202" s="260">
        <v>6.1710409999999998</v>
      </c>
      <c r="BD202" s="260">
        <v>6.1915339999999999</v>
      </c>
      <c r="BE202" s="260">
        <v>6.2119799999999996</v>
      </c>
      <c r="BF202" s="260">
        <v>6.23238</v>
      </c>
      <c r="BG202" s="260">
        <v>6.2527330000000001</v>
      </c>
      <c r="BH202" s="260">
        <v>6.2730389999999998</v>
      </c>
      <c r="BI202" s="260">
        <v>6.2932980000000001</v>
      </c>
      <c r="BJ202" s="260">
        <v>6.3135089999999998</v>
      </c>
      <c r="BK202" s="260">
        <v>6.3336730000000001</v>
      </c>
      <c r="BL202" s="260">
        <v>6.3537879999999998</v>
      </c>
      <c r="BM202" s="260">
        <v>6.3738549999999998</v>
      </c>
      <c r="BN202" s="260">
        <v>6.3938739999999994</v>
      </c>
      <c r="BO202" s="260">
        <v>6.4138440000000001</v>
      </c>
      <c r="BP202" s="260">
        <v>6.4337649999999993</v>
      </c>
      <c r="BQ202" s="260">
        <v>6.4536379999999998</v>
      </c>
      <c r="BR202" s="260">
        <v>6.4734599999999993</v>
      </c>
      <c r="BS202" s="260">
        <v>6.4932339999999993</v>
      </c>
      <c r="BT202" s="260">
        <v>6.5129570000000001</v>
      </c>
      <c r="BU202" s="260">
        <v>6.5326309999999994</v>
      </c>
      <c r="BV202" s="260">
        <v>6.5522549999999997</v>
      </c>
      <c r="BW202" s="260">
        <v>6.5718290000000001</v>
      </c>
      <c r="BX202" s="260">
        <v>6.5913519999999997</v>
      </c>
      <c r="BY202" s="260">
        <v>6.610824</v>
      </c>
      <c r="BZ202" s="260">
        <v>6.6302459999999996</v>
      </c>
      <c r="CA202" s="260">
        <v>6.6496170000000001</v>
      </c>
      <c r="CB202" s="260">
        <v>6.6689369999999997</v>
      </c>
      <c r="CC202" s="260">
        <v>6.6882060000000001</v>
      </c>
      <c r="CD202" s="260">
        <v>6.7074229999999995</v>
      </c>
      <c r="CE202" s="260">
        <v>6.7265889999999997</v>
      </c>
      <c r="CF202" s="260">
        <v>6.7457029999999998</v>
      </c>
      <c r="CG202" s="260">
        <v>6.7647659999999998</v>
      </c>
      <c r="CH202" s="260">
        <v>6.7837769999999997</v>
      </c>
    </row>
    <row r="203" spans="1:86" x14ac:dyDescent="0.25">
      <c r="A203" s="170">
        <v>2</v>
      </c>
      <c r="B203" s="170">
        <v>92</v>
      </c>
      <c r="C203" s="259">
        <v>4.9539608955383301</v>
      </c>
      <c r="D203" s="259">
        <v>4.9711642265319824</v>
      </c>
      <c r="E203" s="259">
        <v>4.9883217811584473</v>
      </c>
      <c r="F203" s="259">
        <v>5.0054340362548828</v>
      </c>
      <c r="G203" s="259">
        <v>5.0225000381469727</v>
      </c>
      <c r="H203" s="259">
        <v>5.0395197868347168</v>
      </c>
      <c r="I203" s="260">
        <v>4.8114439999999998</v>
      </c>
      <c r="J203" s="260">
        <v>4.8346269999999993</v>
      </c>
      <c r="K203" s="260">
        <v>4.85731</v>
      </c>
      <c r="L203" s="260">
        <v>4.8795109999999999</v>
      </c>
      <c r="M203" s="260">
        <v>4.9012560000000001</v>
      </c>
      <c r="N203" s="260">
        <v>4.9225829999999995</v>
      </c>
      <c r="O203" s="260">
        <v>4.9435359999999999</v>
      </c>
      <c r="P203" s="260">
        <v>4.9641659999999996</v>
      </c>
      <c r="Q203" s="260">
        <v>4.9845269999999999</v>
      </c>
      <c r="R203" s="260">
        <v>5.0046759999999999</v>
      </c>
      <c r="S203" s="260">
        <v>5.0246680000000001</v>
      </c>
      <c r="T203" s="260">
        <v>5.0445529999999996</v>
      </c>
      <c r="U203" s="260">
        <v>5.0643729999999998</v>
      </c>
      <c r="V203" s="260">
        <v>5.0841569999999994</v>
      </c>
      <c r="W203" s="260">
        <v>5.1039129999999995</v>
      </c>
      <c r="X203" s="260">
        <v>5.1236410000000001</v>
      </c>
      <c r="Y203" s="260">
        <v>5.1433419999999996</v>
      </c>
      <c r="Z203" s="260">
        <v>5.1630139999999995</v>
      </c>
      <c r="AA203" s="260">
        <v>5.182658</v>
      </c>
      <c r="AB203" s="260">
        <v>5.2022729999999999</v>
      </c>
      <c r="AC203" s="260">
        <v>5.2218580000000001</v>
      </c>
      <c r="AD203" s="260">
        <v>5.2414139999999998</v>
      </c>
      <c r="AE203" s="260">
        <v>5.2609389999999996</v>
      </c>
      <c r="AF203" s="260">
        <v>5.2804349999999998</v>
      </c>
      <c r="AG203" s="260">
        <v>5.2998989999999999</v>
      </c>
      <c r="AH203" s="260">
        <v>5.3193329999999994</v>
      </c>
      <c r="AI203" s="260">
        <v>5.3387349999999998</v>
      </c>
      <c r="AJ203" s="260">
        <v>5.3581050000000001</v>
      </c>
      <c r="AK203" s="260">
        <v>5.3774439999999997</v>
      </c>
      <c r="AL203" s="260">
        <v>5.3967499999999999</v>
      </c>
      <c r="AM203" s="260">
        <v>5.416023</v>
      </c>
      <c r="AN203" s="260">
        <v>5.4352640000000001</v>
      </c>
      <c r="AO203" s="260">
        <v>5.4544709999999998</v>
      </c>
      <c r="AP203" s="260">
        <v>5.4736449999999994</v>
      </c>
      <c r="AQ203" s="260">
        <v>5.4927849999999996</v>
      </c>
      <c r="AR203" s="260">
        <v>5.5118900000000002</v>
      </c>
      <c r="AS203" s="260">
        <v>5.5309619999999997</v>
      </c>
      <c r="AT203" s="260">
        <v>5.5499979999999995</v>
      </c>
      <c r="AU203" s="260">
        <v>5.569</v>
      </c>
      <c r="AV203" s="260">
        <v>5.5879669999999999</v>
      </c>
      <c r="AW203" s="260">
        <v>5.6068980000000002</v>
      </c>
      <c r="AX203" s="260">
        <v>5.6257929999999998</v>
      </c>
      <c r="AY203" s="260">
        <v>5.6446519999999998</v>
      </c>
      <c r="AZ203" s="260">
        <v>5.663475</v>
      </c>
      <c r="BA203" s="260">
        <v>5.6822609999999996</v>
      </c>
      <c r="BB203" s="260">
        <v>5.7010109999999994</v>
      </c>
      <c r="BC203" s="260">
        <v>5.7197239999999994</v>
      </c>
      <c r="BD203" s="260">
        <v>5.7383989999999994</v>
      </c>
      <c r="BE203" s="260">
        <v>5.7570369999999995</v>
      </c>
      <c r="BF203" s="260">
        <v>5.7756369999999997</v>
      </c>
      <c r="BG203" s="260">
        <v>5.7941989999999999</v>
      </c>
      <c r="BH203" s="260">
        <v>5.8127230000000001</v>
      </c>
      <c r="BI203" s="260">
        <v>5.8312080000000002</v>
      </c>
      <c r="BJ203" s="260">
        <v>5.8496549999999994</v>
      </c>
      <c r="BK203" s="260">
        <v>5.8680629999999994</v>
      </c>
      <c r="BL203" s="260">
        <v>5.8864320000000001</v>
      </c>
      <c r="BM203" s="260">
        <v>5.9047619999999998</v>
      </c>
      <c r="BN203" s="260">
        <v>5.9230519999999993</v>
      </c>
      <c r="BO203" s="260">
        <v>5.9413029999999996</v>
      </c>
      <c r="BP203" s="260">
        <v>5.9595139999999995</v>
      </c>
      <c r="BQ203" s="260">
        <v>5.977684</v>
      </c>
      <c r="BR203" s="260">
        <v>5.9958149999999995</v>
      </c>
      <c r="BS203" s="260">
        <v>6.0139049999999994</v>
      </c>
      <c r="BT203" s="260">
        <v>6.0319539999999998</v>
      </c>
      <c r="BU203" s="260">
        <v>6.049963</v>
      </c>
      <c r="BV203" s="260">
        <v>6.0679309999999997</v>
      </c>
      <c r="BW203" s="260">
        <v>6.085858</v>
      </c>
      <c r="BX203" s="260">
        <v>6.1037429999999997</v>
      </c>
      <c r="BY203" s="260">
        <v>6.1215869999999999</v>
      </c>
      <c r="BZ203" s="260">
        <v>6.1393889999999995</v>
      </c>
      <c r="CA203" s="260">
        <v>6.1571499999999997</v>
      </c>
      <c r="CB203" s="260">
        <v>6.1748690000000002</v>
      </c>
      <c r="CC203" s="260">
        <v>6.192545</v>
      </c>
      <c r="CD203" s="260">
        <v>6.2101799999999994</v>
      </c>
      <c r="CE203" s="260">
        <v>6.2277719999999999</v>
      </c>
      <c r="CF203" s="260">
        <v>6.2453219999999998</v>
      </c>
      <c r="CG203" s="260">
        <v>6.262829</v>
      </c>
      <c r="CH203" s="260">
        <v>6.2802929999999995</v>
      </c>
    </row>
    <row r="204" spans="1:86" x14ac:dyDescent="0.25">
      <c r="A204" s="170">
        <v>2</v>
      </c>
      <c r="B204" s="170">
        <v>93</v>
      </c>
      <c r="C204" s="259">
        <v>4.632720947265625</v>
      </c>
      <c r="D204" s="259">
        <v>4.6475958824157715</v>
      </c>
      <c r="E204" s="259">
        <v>4.6624307632446289</v>
      </c>
      <c r="F204" s="259">
        <v>4.6772251129150391</v>
      </c>
      <c r="G204" s="259">
        <v>4.6919779777526855</v>
      </c>
      <c r="H204" s="259">
        <v>4.7066898345947266</v>
      </c>
      <c r="I204" s="260">
        <v>4.471565</v>
      </c>
      <c r="J204" s="260">
        <v>4.4923899999999994</v>
      </c>
      <c r="K204" s="260">
        <v>4.5127660000000001</v>
      </c>
      <c r="L204" s="260">
        <v>4.5327060000000001</v>
      </c>
      <c r="M204" s="260">
        <v>4.5522339999999994</v>
      </c>
      <c r="N204" s="260">
        <v>4.5713799999999996</v>
      </c>
      <c r="O204" s="260">
        <v>4.5901829999999997</v>
      </c>
      <c r="P204" s="260">
        <v>4.6086869999999998</v>
      </c>
      <c r="Q204" s="260">
        <v>4.6269419999999997</v>
      </c>
      <c r="R204" s="260">
        <v>4.6449999999999996</v>
      </c>
      <c r="S204" s="260">
        <v>4.6629109999999994</v>
      </c>
      <c r="T204" s="260">
        <v>4.6807239999999997</v>
      </c>
      <c r="U204" s="260">
        <v>4.6984789999999998</v>
      </c>
      <c r="V204" s="260">
        <v>4.716202</v>
      </c>
      <c r="W204" s="260">
        <v>4.7339039999999999</v>
      </c>
      <c r="X204" s="260">
        <v>4.7515839999999994</v>
      </c>
      <c r="Y204" s="260">
        <v>4.7692420000000002</v>
      </c>
      <c r="Z204" s="260">
        <v>4.7868769999999996</v>
      </c>
      <c r="AA204" s="260">
        <v>4.8044899999999995</v>
      </c>
      <c r="AB204" s="260">
        <v>4.8220799999999997</v>
      </c>
      <c r="AC204" s="260">
        <v>4.8396460000000001</v>
      </c>
      <c r="AD204" s="260">
        <v>4.857189</v>
      </c>
      <c r="AE204" s="260">
        <v>4.874708</v>
      </c>
      <c r="AF204" s="260">
        <v>4.8922029999999994</v>
      </c>
      <c r="AG204" s="260">
        <v>4.9096739999999999</v>
      </c>
      <c r="AH204" s="260">
        <v>4.9271199999999995</v>
      </c>
      <c r="AI204" s="260">
        <v>4.9445410000000001</v>
      </c>
      <c r="AJ204" s="260">
        <v>4.9619369999999998</v>
      </c>
      <c r="AK204" s="260">
        <v>4.9793079999999996</v>
      </c>
      <c r="AL204" s="260">
        <v>4.9966529999999993</v>
      </c>
      <c r="AM204" s="260">
        <v>5.0139709999999997</v>
      </c>
      <c r="AN204" s="260">
        <v>5.0312640000000002</v>
      </c>
      <c r="AO204" s="260">
        <v>5.0485299999999995</v>
      </c>
      <c r="AP204" s="260">
        <v>5.0657689999999995</v>
      </c>
      <c r="AQ204" s="260">
        <v>5.0829819999999994</v>
      </c>
      <c r="AR204" s="260">
        <v>5.1001669999999999</v>
      </c>
      <c r="AS204" s="260">
        <v>5.1173250000000001</v>
      </c>
      <c r="AT204" s="260">
        <v>5.134455</v>
      </c>
      <c r="AU204" s="260">
        <v>5.1515569999999995</v>
      </c>
      <c r="AV204" s="260">
        <v>5.1686309999999995</v>
      </c>
      <c r="AW204" s="260">
        <v>5.1856770000000001</v>
      </c>
      <c r="AX204" s="260">
        <v>5.2026940000000002</v>
      </c>
      <c r="AY204" s="260">
        <v>5.2196819999999997</v>
      </c>
      <c r="AZ204" s="260">
        <v>5.2366409999999997</v>
      </c>
      <c r="BA204" s="260">
        <v>5.253571</v>
      </c>
      <c r="BB204" s="260">
        <v>5.2704709999999997</v>
      </c>
      <c r="BC204" s="260">
        <v>5.2873419999999998</v>
      </c>
      <c r="BD204" s="260">
        <v>5.3041830000000001</v>
      </c>
      <c r="BE204" s="260">
        <v>5.3209939999999998</v>
      </c>
      <c r="BF204" s="260">
        <v>5.3377739999999996</v>
      </c>
      <c r="BG204" s="260">
        <v>5.3545249999999998</v>
      </c>
      <c r="BH204" s="260">
        <v>5.3712439999999999</v>
      </c>
      <c r="BI204" s="260">
        <v>5.3879329999999994</v>
      </c>
      <c r="BJ204" s="260">
        <v>5.4045899999999998</v>
      </c>
      <c r="BK204" s="260">
        <v>5.4212159999999994</v>
      </c>
      <c r="BL204" s="260">
        <v>5.437811</v>
      </c>
      <c r="BM204" s="260">
        <v>5.4543749999999998</v>
      </c>
      <c r="BN204" s="260">
        <v>5.4709059999999994</v>
      </c>
      <c r="BO204" s="260">
        <v>5.487406</v>
      </c>
      <c r="BP204" s="260">
        <v>5.5038729999999996</v>
      </c>
      <c r="BQ204" s="260">
        <v>5.520308</v>
      </c>
      <c r="BR204" s="260">
        <v>5.5367109999999995</v>
      </c>
      <c r="BS204" s="260">
        <v>5.5530809999999997</v>
      </c>
      <c r="BT204" s="260">
        <v>5.5694189999999999</v>
      </c>
      <c r="BU204" s="260">
        <v>5.5857229999999998</v>
      </c>
      <c r="BV204" s="260">
        <v>5.6019939999999995</v>
      </c>
      <c r="BW204" s="260">
        <v>5.618233</v>
      </c>
      <c r="BX204" s="260">
        <v>5.6344370000000001</v>
      </c>
      <c r="BY204" s="260">
        <v>5.6506089999999993</v>
      </c>
      <c r="BZ204" s="260">
        <v>5.6667459999999998</v>
      </c>
      <c r="CA204" s="260">
        <v>5.6828500000000002</v>
      </c>
      <c r="CB204" s="260">
        <v>5.6989199999999993</v>
      </c>
      <c r="CC204" s="260">
        <v>5.7149549999999998</v>
      </c>
      <c r="CD204" s="260">
        <v>5.7309570000000001</v>
      </c>
      <c r="CE204" s="260">
        <v>5.7469239999999999</v>
      </c>
      <c r="CF204" s="260">
        <v>5.7628569999999995</v>
      </c>
      <c r="CG204" s="260">
        <v>5.7787549999999994</v>
      </c>
      <c r="CH204" s="260">
        <v>5.7946179999999998</v>
      </c>
    </row>
    <row r="205" spans="1:86" x14ac:dyDescent="0.25">
      <c r="A205" s="170">
        <v>2</v>
      </c>
      <c r="B205" s="170">
        <v>94</v>
      </c>
      <c r="C205" s="259">
        <v>4.3248710632324219</v>
      </c>
      <c r="D205" s="259">
        <v>4.3370108604431152</v>
      </c>
      <c r="E205" s="259">
        <v>4.3491201400756836</v>
      </c>
      <c r="F205" s="259">
        <v>4.3611979484558105</v>
      </c>
      <c r="G205" s="259">
        <v>4.3732438087463379</v>
      </c>
      <c r="H205" s="259">
        <v>4.3852601051330566</v>
      </c>
      <c r="I205" s="260">
        <v>4.1573259999999994</v>
      </c>
      <c r="J205" s="260">
        <v>4.1757999999999997</v>
      </c>
      <c r="K205" s="260">
        <v>4.1938750000000002</v>
      </c>
      <c r="L205" s="260">
        <v>4.2115619999999998</v>
      </c>
      <c r="M205" s="260">
        <v>4.2288790000000001</v>
      </c>
      <c r="N205" s="260">
        <v>4.2458529999999994</v>
      </c>
      <c r="O205" s="260">
        <v>4.2625159999999997</v>
      </c>
      <c r="P205" s="260">
        <v>4.2789060000000001</v>
      </c>
      <c r="Q205" s="260">
        <v>4.2950679999999997</v>
      </c>
      <c r="R205" s="260">
        <v>4.3110499999999998</v>
      </c>
      <c r="S205" s="260">
        <v>4.3268959999999996</v>
      </c>
      <c r="T205" s="260">
        <v>4.3426520000000002</v>
      </c>
      <c r="U205" s="260">
        <v>4.3583569999999998</v>
      </c>
      <c r="V205" s="260">
        <v>4.374034</v>
      </c>
      <c r="W205" s="260">
        <v>4.3896939999999995</v>
      </c>
      <c r="X205" s="260">
        <v>4.4053369999999994</v>
      </c>
      <c r="Y205" s="260">
        <v>4.4209629999999995</v>
      </c>
      <c r="Z205" s="260">
        <v>4.4365709999999998</v>
      </c>
      <c r="AA205" s="260">
        <v>4.4521609999999994</v>
      </c>
      <c r="AB205" s="260">
        <v>4.467733</v>
      </c>
      <c r="AC205" s="260">
        <v>4.4832869999999998</v>
      </c>
      <c r="AD205" s="260">
        <v>4.4988219999999997</v>
      </c>
      <c r="AE205" s="260">
        <v>4.5143379999999995</v>
      </c>
      <c r="AF205" s="260">
        <v>4.5298349999999994</v>
      </c>
      <c r="AG205" s="260">
        <v>4.5453130000000002</v>
      </c>
      <c r="AH205" s="260">
        <v>4.560772</v>
      </c>
      <c r="AI205" s="260">
        <v>4.5762109999999998</v>
      </c>
      <c r="AJ205" s="260">
        <v>4.5916299999999994</v>
      </c>
      <c r="AK205" s="260">
        <v>4.6070289999999998</v>
      </c>
      <c r="AL205" s="260">
        <v>4.6224069999999999</v>
      </c>
      <c r="AM205" s="260">
        <v>4.6377649999999999</v>
      </c>
      <c r="AN205" s="260">
        <v>4.6531029999999998</v>
      </c>
      <c r="AO205" s="260">
        <v>4.6684190000000001</v>
      </c>
      <c r="AP205" s="260">
        <v>4.6837140000000002</v>
      </c>
      <c r="AQ205" s="260">
        <v>4.6989879999999999</v>
      </c>
      <c r="AR205" s="260">
        <v>4.7142409999999995</v>
      </c>
      <c r="AS205" s="260">
        <v>4.7294719999999995</v>
      </c>
      <c r="AT205" s="260">
        <v>4.7446809999999999</v>
      </c>
      <c r="AU205" s="260">
        <v>4.7598669999999998</v>
      </c>
      <c r="AV205" s="260">
        <v>4.7750319999999995</v>
      </c>
      <c r="AW205" s="260">
        <v>4.7901739999999995</v>
      </c>
      <c r="AX205" s="260">
        <v>4.805294</v>
      </c>
      <c r="AY205" s="260">
        <v>4.8203899999999997</v>
      </c>
      <c r="AZ205" s="260">
        <v>4.835464</v>
      </c>
      <c r="BA205" s="260">
        <v>4.8505149999999997</v>
      </c>
      <c r="BB205" s="260">
        <v>4.8655419999999996</v>
      </c>
      <c r="BC205" s="260">
        <v>4.8805459999999998</v>
      </c>
      <c r="BD205" s="260">
        <v>4.8955259999999994</v>
      </c>
      <c r="BE205" s="260">
        <v>4.910482</v>
      </c>
      <c r="BF205" s="260">
        <v>4.9254150000000001</v>
      </c>
      <c r="BG205" s="260">
        <v>4.9403229999999994</v>
      </c>
      <c r="BH205" s="260">
        <v>4.9552069999999997</v>
      </c>
      <c r="BI205" s="260">
        <v>4.9700660000000001</v>
      </c>
      <c r="BJ205" s="260">
        <v>4.9849009999999998</v>
      </c>
      <c r="BK205" s="260">
        <v>4.9997109999999996</v>
      </c>
      <c r="BL205" s="260">
        <v>5.0144959999999994</v>
      </c>
      <c r="BM205" s="260">
        <v>5.0292560000000002</v>
      </c>
      <c r="BN205" s="260">
        <v>5.0439910000000001</v>
      </c>
      <c r="BO205" s="260">
        <v>5.0587</v>
      </c>
      <c r="BP205" s="260">
        <v>5.0733839999999999</v>
      </c>
      <c r="BQ205" s="260">
        <v>5.0880429999999999</v>
      </c>
      <c r="BR205" s="260">
        <v>5.1026749999999996</v>
      </c>
      <c r="BS205" s="260">
        <v>5.1172819999999994</v>
      </c>
      <c r="BT205" s="260">
        <v>5.1318619999999999</v>
      </c>
      <c r="BU205" s="260">
        <v>5.1464169999999996</v>
      </c>
      <c r="BV205" s="260">
        <v>5.1609449999999999</v>
      </c>
      <c r="BW205" s="260">
        <v>5.175446</v>
      </c>
      <c r="BX205" s="260">
        <v>5.189921</v>
      </c>
      <c r="BY205" s="260">
        <v>5.2043699999999999</v>
      </c>
      <c r="BZ205" s="260">
        <v>5.2187909999999995</v>
      </c>
      <c r="CA205" s="260">
        <v>5.2331859999999999</v>
      </c>
      <c r="CB205" s="260">
        <v>5.2475529999999999</v>
      </c>
      <c r="CC205" s="260">
        <v>5.2618939999999998</v>
      </c>
      <c r="CD205" s="260">
        <v>5.2762069999999994</v>
      </c>
      <c r="CE205" s="260">
        <v>5.2904919999999995</v>
      </c>
      <c r="CF205" s="260">
        <v>5.3047499999999994</v>
      </c>
      <c r="CG205" s="260">
        <v>5.318981</v>
      </c>
      <c r="CH205" s="260">
        <v>5.3331840000000001</v>
      </c>
    </row>
    <row r="206" spans="1:86" x14ac:dyDescent="0.25">
      <c r="A206" s="170">
        <v>2</v>
      </c>
      <c r="B206" s="170">
        <v>95</v>
      </c>
      <c r="C206" s="259">
        <v>4.031865119934082</v>
      </c>
      <c r="D206" s="259">
        <v>4.0407161712646484</v>
      </c>
      <c r="E206" s="259">
        <v>4.0495538711547852</v>
      </c>
      <c r="F206" s="259">
        <v>4.0583782196044922</v>
      </c>
      <c r="G206" s="259">
        <v>4.0671892166137695</v>
      </c>
      <c r="H206" s="259">
        <v>4.0759859085083008</v>
      </c>
      <c r="I206" s="260">
        <v>3.8629289999999998</v>
      </c>
      <c r="J206" s="260">
        <v>3.879111</v>
      </c>
      <c r="K206" s="260">
        <v>3.8949449999999999</v>
      </c>
      <c r="L206" s="260">
        <v>3.9104369999999999</v>
      </c>
      <c r="M206" s="260">
        <v>3.9256029999999997</v>
      </c>
      <c r="N206" s="260">
        <v>3.9404629999999998</v>
      </c>
      <c r="O206" s="260">
        <v>3.9550449999999997</v>
      </c>
      <c r="P206" s="260">
        <v>3.9693829999999997</v>
      </c>
      <c r="Q206" s="260">
        <v>3.9835129999999999</v>
      </c>
      <c r="R206" s="260">
        <v>3.9974779999999996</v>
      </c>
      <c r="S206" s="260">
        <v>4.0113209999999997</v>
      </c>
      <c r="T206" s="260">
        <v>4.0250819999999994</v>
      </c>
      <c r="U206" s="260">
        <v>4.0387949999999995</v>
      </c>
      <c r="V206" s="260">
        <v>4.0524849999999999</v>
      </c>
      <c r="W206" s="260">
        <v>4.0661619999999994</v>
      </c>
      <c r="X206" s="260">
        <v>4.0798259999999997</v>
      </c>
      <c r="Y206" s="260">
        <v>4.0934759999999999</v>
      </c>
      <c r="Z206" s="260">
        <v>4.1071109999999997</v>
      </c>
      <c r="AA206" s="260">
        <v>4.1207329999999995</v>
      </c>
      <c r="AB206" s="260">
        <v>4.1343399999999999</v>
      </c>
      <c r="AC206" s="260">
        <v>4.147932</v>
      </c>
      <c r="AD206" s="260">
        <v>4.1615099999999998</v>
      </c>
      <c r="AE206" s="260">
        <v>4.1750729999999994</v>
      </c>
      <c r="AF206" s="260">
        <v>4.1886209999999995</v>
      </c>
      <c r="AG206" s="260">
        <v>4.2021540000000002</v>
      </c>
      <c r="AH206" s="260">
        <v>4.2156709999999995</v>
      </c>
      <c r="AI206" s="260">
        <v>4.2291729999999994</v>
      </c>
      <c r="AJ206" s="260">
        <v>4.2426589999999997</v>
      </c>
      <c r="AK206" s="260">
        <v>4.2561299999999997</v>
      </c>
      <c r="AL206" s="260">
        <v>4.269584</v>
      </c>
      <c r="AM206" s="260">
        <v>4.2830219999999999</v>
      </c>
      <c r="AN206" s="260">
        <v>4.2964440000000002</v>
      </c>
      <c r="AO206" s="260">
        <v>4.3098489999999998</v>
      </c>
      <c r="AP206" s="260">
        <v>4.3232379999999999</v>
      </c>
      <c r="AQ206" s="260">
        <v>4.3366090000000002</v>
      </c>
      <c r="AR206" s="260">
        <v>4.3499639999999999</v>
      </c>
      <c r="AS206" s="260">
        <v>4.363302</v>
      </c>
      <c r="AT206" s="260">
        <v>4.3766229999999995</v>
      </c>
      <c r="AU206" s="260">
        <v>4.389926</v>
      </c>
      <c r="AV206" s="260">
        <v>4.4032119999999999</v>
      </c>
      <c r="AW206" s="260">
        <v>4.41648</v>
      </c>
      <c r="AX206" s="260">
        <v>4.4297300000000002</v>
      </c>
      <c r="AY206" s="260">
        <v>4.4429629999999998</v>
      </c>
      <c r="AZ206" s="260">
        <v>4.4561769999999994</v>
      </c>
      <c r="BA206" s="260">
        <v>4.469373</v>
      </c>
      <c r="BB206" s="260">
        <v>4.482551</v>
      </c>
      <c r="BC206" s="260">
        <v>4.4957099999999999</v>
      </c>
      <c r="BD206" s="260">
        <v>4.5088509999999999</v>
      </c>
      <c r="BE206" s="260">
        <v>4.521973</v>
      </c>
      <c r="BF206" s="260">
        <v>4.5350760000000001</v>
      </c>
      <c r="BG206" s="260">
        <v>4.5481600000000002</v>
      </c>
      <c r="BH206" s="260">
        <v>4.5612249999999994</v>
      </c>
      <c r="BI206" s="260">
        <v>4.5742709999999995</v>
      </c>
      <c r="BJ206" s="260">
        <v>4.5872969999999995</v>
      </c>
      <c r="BK206" s="260">
        <v>4.6003039999999995</v>
      </c>
      <c r="BL206" s="260">
        <v>4.6132919999999995</v>
      </c>
      <c r="BM206" s="260">
        <v>4.6262590000000001</v>
      </c>
      <c r="BN206" s="260">
        <v>4.6392069999999999</v>
      </c>
      <c r="BO206" s="260">
        <v>4.6521349999999995</v>
      </c>
      <c r="BP206" s="260">
        <v>4.6650429999999998</v>
      </c>
      <c r="BQ206" s="260">
        <v>4.6779310000000001</v>
      </c>
      <c r="BR206" s="260">
        <v>4.690798</v>
      </c>
      <c r="BS206" s="260">
        <v>4.7036449999999999</v>
      </c>
      <c r="BT206" s="260">
        <v>4.7164719999999996</v>
      </c>
      <c r="BU206" s="260">
        <v>4.7292779999999999</v>
      </c>
      <c r="BV206" s="260">
        <v>4.7420629999999999</v>
      </c>
      <c r="BW206" s="260">
        <v>4.7548279999999998</v>
      </c>
      <c r="BX206" s="260">
        <v>4.7675710000000002</v>
      </c>
      <c r="BY206" s="260">
        <v>4.7802939999999996</v>
      </c>
      <c r="BZ206" s="260">
        <v>4.7929949999999995</v>
      </c>
      <c r="CA206" s="260">
        <v>4.8056760000000001</v>
      </c>
      <c r="CB206" s="260">
        <v>4.8183349999999994</v>
      </c>
      <c r="CC206" s="260">
        <v>4.830972</v>
      </c>
      <c r="CD206" s="260">
        <v>4.8435879999999996</v>
      </c>
      <c r="CE206" s="260">
        <v>4.8561829999999997</v>
      </c>
      <c r="CF206" s="260">
        <v>4.8687559999999994</v>
      </c>
      <c r="CG206" s="260">
        <v>4.8813069999999996</v>
      </c>
      <c r="CH206" s="260">
        <v>4.8938369999999995</v>
      </c>
    </row>
    <row r="207" spans="1:86" x14ac:dyDescent="0.25">
      <c r="A207" s="170">
        <v>2</v>
      </c>
      <c r="B207" s="170">
        <v>96</v>
      </c>
      <c r="C207" s="259">
        <v>3.7735440731048584</v>
      </c>
      <c r="D207" s="259">
        <v>3.7812850475311279</v>
      </c>
      <c r="E207" s="259">
        <v>3.7890110015869141</v>
      </c>
      <c r="F207" s="259">
        <v>3.7967219352722168</v>
      </c>
      <c r="G207" s="259">
        <v>3.8044180870056152</v>
      </c>
      <c r="H207" s="259">
        <v>3.8120989799499512</v>
      </c>
      <c r="I207" s="260">
        <v>3.5882859999999996</v>
      </c>
      <c r="J207" s="260">
        <v>3.602255</v>
      </c>
      <c r="K207" s="260">
        <v>3.6159219999999999</v>
      </c>
      <c r="L207" s="260">
        <v>3.6292939999999998</v>
      </c>
      <c r="M207" s="260">
        <v>3.6423809999999999</v>
      </c>
      <c r="N207" s="260">
        <v>3.6551999999999998</v>
      </c>
      <c r="O207" s="260">
        <v>3.6677749999999998</v>
      </c>
      <c r="P207" s="260">
        <v>3.680132</v>
      </c>
      <c r="Q207" s="260">
        <v>3.6923049999999997</v>
      </c>
      <c r="R207" s="260">
        <v>3.704329</v>
      </c>
      <c r="S207" s="260">
        <v>3.7162419999999998</v>
      </c>
      <c r="T207" s="260">
        <v>3.728081</v>
      </c>
      <c r="U207" s="260">
        <v>3.7398769999999999</v>
      </c>
      <c r="V207" s="260">
        <v>3.7516539999999998</v>
      </c>
      <c r="W207" s="260">
        <v>3.76342</v>
      </c>
      <c r="X207" s="260">
        <v>3.7751749999999999</v>
      </c>
      <c r="Y207" s="260">
        <v>3.7869189999999997</v>
      </c>
      <c r="Z207" s="260">
        <v>3.798651</v>
      </c>
      <c r="AA207" s="260">
        <v>3.8103729999999998</v>
      </c>
      <c r="AB207" s="260">
        <v>3.8220829999999997</v>
      </c>
      <c r="AC207" s="260">
        <v>3.8337809999999997</v>
      </c>
      <c r="AD207" s="260">
        <v>3.8454669999999997</v>
      </c>
      <c r="AE207" s="260">
        <v>3.8571419999999996</v>
      </c>
      <c r="AF207" s="260">
        <v>3.8688049999999996</v>
      </c>
      <c r="AG207" s="260">
        <v>3.8804559999999997</v>
      </c>
      <c r="AH207" s="260">
        <v>3.8920939999999997</v>
      </c>
      <c r="AI207" s="260">
        <v>3.903721</v>
      </c>
      <c r="AJ207" s="260">
        <v>3.9153339999999996</v>
      </c>
      <c r="AK207" s="260">
        <v>3.926936</v>
      </c>
      <c r="AL207" s="260">
        <v>3.9385239999999997</v>
      </c>
      <c r="AM207" s="260">
        <v>3.9500999999999999</v>
      </c>
      <c r="AN207" s="260">
        <v>3.9616629999999997</v>
      </c>
      <c r="AO207" s="260">
        <v>3.9732129999999999</v>
      </c>
      <c r="AP207" s="260">
        <v>3.98475</v>
      </c>
      <c r="AQ207" s="260">
        <v>3.996273</v>
      </c>
      <c r="AR207" s="260">
        <v>4.007784</v>
      </c>
      <c r="AS207" s="260">
        <v>4.0192809999999994</v>
      </c>
      <c r="AT207" s="260">
        <v>4.0307639999999996</v>
      </c>
      <c r="AU207" s="260">
        <v>4.0422339999999997</v>
      </c>
      <c r="AV207" s="260">
        <v>4.0536889999999994</v>
      </c>
      <c r="AW207" s="260">
        <v>4.0651320000000002</v>
      </c>
      <c r="AX207" s="260">
        <v>4.0765599999999997</v>
      </c>
      <c r="AY207" s="260">
        <v>4.087974</v>
      </c>
      <c r="AZ207" s="260">
        <v>4.0993740000000001</v>
      </c>
      <c r="BA207" s="260">
        <v>4.1107589999999998</v>
      </c>
      <c r="BB207" s="260">
        <v>4.1221309999999995</v>
      </c>
      <c r="BC207" s="260">
        <v>4.1334869999999997</v>
      </c>
      <c r="BD207" s="260">
        <v>4.1448299999999998</v>
      </c>
      <c r="BE207" s="260">
        <v>4.1561569999999994</v>
      </c>
      <c r="BF207" s="260">
        <v>4.1674699999999998</v>
      </c>
      <c r="BG207" s="260">
        <v>4.1787679999999998</v>
      </c>
      <c r="BH207" s="260">
        <v>4.1900519999999997</v>
      </c>
      <c r="BI207" s="260">
        <v>4.2013199999999999</v>
      </c>
      <c r="BJ207" s="260">
        <v>4.2125729999999999</v>
      </c>
      <c r="BK207" s="260">
        <v>4.2238109999999995</v>
      </c>
      <c r="BL207" s="260">
        <v>4.2350329999999996</v>
      </c>
      <c r="BM207" s="260">
        <v>4.2462409999999995</v>
      </c>
      <c r="BN207" s="260">
        <v>4.2574319999999997</v>
      </c>
      <c r="BO207" s="260">
        <v>4.2686089999999997</v>
      </c>
      <c r="BP207" s="260">
        <v>4.2797689999999999</v>
      </c>
      <c r="BQ207" s="260">
        <v>4.2909139999999999</v>
      </c>
      <c r="BR207" s="260">
        <v>4.3020429999999994</v>
      </c>
      <c r="BS207" s="260">
        <v>4.3131569999999995</v>
      </c>
      <c r="BT207" s="260">
        <v>4.3242539999999998</v>
      </c>
      <c r="BU207" s="260">
        <v>4.3353349999999997</v>
      </c>
      <c r="BV207" s="260">
        <v>4.3464010000000002</v>
      </c>
      <c r="BW207" s="260">
        <v>4.35745</v>
      </c>
      <c r="BX207" s="260">
        <v>4.3684820000000002</v>
      </c>
      <c r="BY207" s="260">
        <v>4.379499</v>
      </c>
      <c r="BZ207" s="260">
        <v>4.3904990000000002</v>
      </c>
      <c r="CA207" s="260">
        <v>4.4014819999999997</v>
      </c>
      <c r="CB207" s="260">
        <v>4.4124489999999996</v>
      </c>
      <c r="CC207" s="260">
        <v>4.4234</v>
      </c>
      <c r="CD207" s="260">
        <v>4.4343339999999998</v>
      </c>
      <c r="CE207" s="260">
        <v>4.4452499999999997</v>
      </c>
      <c r="CF207" s="260">
        <v>4.4561510000000002</v>
      </c>
      <c r="CG207" s="260">
        <v>4.4670339999999999</v>
      </c>
      <c r="CH207" s="260">
        <v>4.4779</v>
      </c>
    </row>
    <row r="208" spans="1:86" x14ac:dyDescent="0.25">
      <c r="A208" s="170">
        <v>2</v>
      </c>
      <c r="B208" s="170">
        <v>97</v>
      </c>
      <c r="C208" s="259">
        <v>3.5346610546112061</v>
      </c>
      <c r="D208" s="259">
        <v>3.5410490036010742</v>
      </c>
      <c r="E208" s="259">
        <v>3.5474209785461426</v>
      </c>
      <c r="F208" s="259">
        <v>3.5537769794464111</v>
      </c>
      <c r="G208" s="259">
        <v>3.5601179599761963</v>
      </c>
      <c r="H208" s="259">
        <v>3.5664420127868652</v>
      </c>
      <c r="I208" s="260">
        <v>3.3331219999999999</v>
      </c>
      <c r="J208" s="260">
        <v>3.3449659999999999</v>
      </c>
      <c r="K208" s="260">
        <v>3.3565549999999997</v>
      </c>
      <c r="L208" s="260">
        <v>3.3678919999999999</v>
      </c>
      <c r="M208" s="260">
        <v>3.3789849999999997</v>
      </c>
      <c r="N208" s="260">
        <v>3.3898489999999999</v>
      </c>
      <c r="O208" s="260">
        <v>3.4004999999999996</v>
      </c>
      <c r="P208" s="260">
        <v>3.410962</v>
      </c>
      <c r="Q208" s="260">
        <v>3.421262</v>
      </c>
      <c r="R208" s="260">
        <v>3.4314309999999999</v>
      </c>
      <c r="S208" s="260">
        <v>3.4415009999999997</v>
      </c>
      <c r="T208" s="260">
        <v>3.4515039999999999</v>
      </c>
      <c r="U208" s="260">
        <v>3.4614699999999998</v>
      </c>
      <c r="V208" s="260">
        <v>3.4714179999999999</v>
      </c>
      <c r="W208" s="260">
        <v>3.4813579999999997</v>
      </c>
      <c r="X208" s="260">
        <v>3.4912889999999996</v>
      </c>
      <c r="Y208" s="260">
        <v>3.5012109999999996</v>
      </c>
      <c r="Z208" s="260">
        <v>3.5111239999999997</v>
      </c>
      <c r="AA208" s="260">
        <v>3.5210269999999997</v>
      </c>
      <c r="AB208" s="260">
        <v>3.5309219999999999</v>
      </c>
      <c r="AC208" s="260">
        <v>3.540807</v>
      </c>
      <c r="AD208" s="260">
        <v>3.5506819999999997</v>
      </c>
      <c r="AE208" s="260">
        <v>3.560549</v>
      </c>
      <c r="AF208" s="260">
        <v>3.5704050000000001</v>
      </c>
      <c r="AG208" s="260">
        <v>3.5802519999999998</v>
      </c>
      <c r="AH208" s="260">
        <v>3.5900889999999999</v>
      </c>
      <c r="AI208" s="260">
        <v>3.599917</v>
      </c>
      <c r="AJ208" s="260">
        <v>3.609734</v>
      </c>
      <c r="AK208" s="260">
        <v>3.619542</v>
      </c>
      <c r="AL208" s="260">
        <v>3.62934</v>
      </c>
      <c r="AM208" s="260">
        <v>3.6391269999999998</v>
      </c>
      <c r="AN208" s="260">
        <v>3.6489039999999999</v>
      </c>
      <c r="AO208" s="260">
        <v>3.658671</v>
      </c>
      <c r="AP208" s="260">
        <v>3.668428</v>
      </c>
      <c r="AQ208" s="260">
        <v>3.6781739999999998</v>
      </c>
      <c r="AR208" s="260">
        <v>3.68791</v>
      </c>
      <c r="AS208" s="260">
        <v>3.697635</v>
      </c>
      <c r="AT208" s="260">
        <v>3.7073489999999998</v>
      </c>
      <c r="AU208" s="260">
        <v>3.7170529999999999</v>
      </c>
      <c r="AV208" s="260">
        <v>3.7267459999999999</v>
      </c>
      <c r="AW208" s="260">
        <v>3.7364279999999996</v>
      </c>
      <c r="AX208" s="260">
        <v>3.7460989999999996</v>
      </c>
      <c r="AY208" s="260">
        <v>3.7557589999999998</v>
      </c>
      <c r="AZ208" s="260">
        <v>3.7654079999999999</v>
      </c>
      <c r="BA208" s="260">
        <v>3.7750459999999997</v>
      </c>
      <c r="BB208" s="260">
        <v>3.7846729999999997</v>
      </c>
      <c r="BC208" s="260">
        <v>3.794289</v>
      </c>
      <c r="BD208" s="260">
        <v>3.803893</v>
      </c>
      <c r="BE208" s="260">
        <v>3.8134859999999997</v>
      </c>
      <c r="BF208" s="260">
        <v>3.823067</v>
      </c>
      <c r="BG208" s="260">
        <v>3.8326369999999996</v>
      </c>
      <c r="BH208" s="260">
        <v>3.8421949999999998</v>
      </c>
      <c r="BI208" s="260">
        <v>3.8517409999999996</v>
      </c>
      <c r="BJ208" s="260">
        <v>3.8612759999999997</v>
      </c>
      <c r="BK208" s="260">
        <v>3.8707989999999999</v>
      </c>
      <c r="BL208" s="260">
        <v>3.8803099999999997</v>
      </c>
      <c r="BM208" s="260">
        <v>3.8898089999999996</v>
      </c>
      <c r="BN208" s="260">
        <v>3.8992969999999998</v>
      </c>
      <c r="BO208" s="260">
        <v>3.9087719999999999</v>
      </c>
      <c r="BP208" s="260">
        <v>3.9182349999999997</v>
      </c>
      <c r="BQ208" s="260">
        <v>3.927686</v>
      </c>
      <c r="BR208" s="260">
        <v>3.937125</v>
      </c>
      <c r="BS208" s="260">
        <v>3.9465519999999996</v>
      </c>
      <c r="BT208" s="260">
        <v>3.9559659999999996</v>
      </c>
      <c r="BU208" s="260">
        <v>3.9653679999999998</v>
      </c>
      <c r="BV208" s="260">
        <v>3.974758</v>
      </c>
      <c r="BW208" s="260">
        <v>3.9841349999999998</v>
      </c>
      <c r="BX208" s="260">
        <v>3.9934989999999999</v>
      </c>
      <c r="BY208" s="260">
        <v>4.0028509999999997</v>
      </c>
      <c r="BZ208" s="260">
        <v>4.0121899999999995</v>
      </c>
      <c r="CA208" s="260">
        <v>4.0215170000000002</v>
      </c>
      <c r="CB208" s="260">
        <v>4.0308310000000001</v>
      </c>
      <c r="CC208" s="260">
        <v>4.0401319999999998</v>
      </c>
      <c r="CD208" s="260">
        <v>4.0494199999999996</v>
      </c>
      <c r="CE208" s="260">
        <v>4.0586959999999994</v>
      </c>
      <c r="CF208" s="260">
        <v>4.067958</v>
      </c>
      <c r="CG208" s="260">
        <v>4.0772079999999997</v>
      </c>
      <c r="CH208" s="260">
        <v>4.0864440000000002</v>
      </c>
    </row>
    <row r="209" spans="1:86" x14ac:dyDescent="0.25">
      <c r="A209" s="170">
        <v>2</v>
      </c>
      <c r="B209" s="170">
        <v>98</v>
      </c>
      <c r="C209" s="259">
        <v>3.2921020984649658</v>
      </c>
      <c r="D209" s="259">
        <v>3.2968709468841553</v>
      </c>
      <c r="E209" s="259">
        <v>3.301624059677124</v>
      </c>
      <c r="F209" s="259">
        <v>3.3063631057739258</v>
      </c>
      <c r="G209" s="259">
        <v>3.311086893081665</v>
      </c>
      <c r="H209" s="259">
        <v>3.3157949447631836</v>
      </c>
      <c r="I209" s="260">
        <v>3.096975</v>
      </c>
      <c r="J209" s="260">
        <v>3.106795</v>
      </c>
      <c r="K209" s="260">
        <v>3.1164039999999997</v>
      </c>
      <c r="L209" s="260">
        <v>3.1258029999999999</v>
      </c>
      <c r="M209" s="260">
        <v>3.1349989999999996</v>
      </c>
      <c r="N209" s="260">
        <v>3.1440009999999998</v>
      </c>
      <c r="O209" s="260">
        <v>3.152825</v>
      </c>
      <c r="P209" s="260">
        <v>3.1614869999999997</v>
      </c>
      <c r="Q209" s="260">
        <v>3.1700109999999997</v>
      </c>
      <c r="R209" s="260">
        <v>3.17842</v>
      </c>
      <c r="S209" s="260">
        <v>3.1867429999999999</v>
      </c>
      <c r="T209" s="260">
        <v>3.1950059999999998</v>
      </c>
      <c r="U209" s="260">
        <v>3.2032369999999997</v>
      </c>
      <c r="V209" s="260">
        <v>3.2114539999999998</v>
      </c>
      <c r="W209" s="260">
        <v>3.2196629999999997</v>
      </c>
      <c r="X209" s="260">
        <v>3.227865</v>
      </c>
      <c r="Y209" s="260">
        <v>3.2360599999999997</v>
      </c>
      <c r="Z209" s="260">
        <v>3.2442469999999997</v>
      </c>
      <c r="AA209" s="260">
        <v>3.252427</v>
      </c>
      <c r="AB209" s="260">
        <v>3.260599</v>
      </c>
      <c r="AC209" s="260">
        <v>3.268764</v>
      </c>
      <c r="AD209" s="260">
        <v>3.2769209999999998</v>
      </c>
      <c r="AE209" s="260">
        <v>3.2850709999999999</v>
      </c>
      <c r="AF209" s="260">
        <v>3.2932129999999997</v>
      </c>
      <c r="AG209" s="260">
        <v>3.3013469999999998</v>
      </c>
      <c r="AH209" s="260">
        <v>3.3094729999999997</v>
      </c>
      <c r="AI209" s="260">
        <v>3.3175919999999999</v>
      </c>
      <c r="AJ209" s="260">
        <v>3.3257029999999999</v>
      </c>
      <c r="AK209" s="260">
        <v>3.333806</v>
      </c>
      <c r="AL209" s="260">
        <v>3.3418999999999999</v>
      </c>
      <c r="AM209" s="260">
        <v>3.349987</v>
      </c>
      <c r="AN209" s="260">
        <v>3.358066</v>
      </c>
      <c r="AO209" s="260">
        <v>3.366136</v>
      </c>
      <c r="AP209" s="260">
        <v>3.3741989999999999</v>
      </c>
      <c r="AQ209" s="260">
        <v>3.382253</v>
      </c>
      <c r="AR209" s="260">
        <v>3.3902989999999997</v>
      </c>
      <c r="AS209" s="260">
        <v>3.398336</v>
      </c>
      <c r="AT209" s="260">
        <v>3.4063649999999996</v>
      </c>
      <c r="AU209" s="260">
        <v>3.4143859999999999</v>
      </c>
      <c r="AV209" s="260">
        <v>3.422399</v>
      </c>
      <c r="AW209" s="260">
        <v>3.430402</v>
      </c>
      <c r="AX209" s="260">
        <v>3.4383979999999998</v>
      </c>
      <c r="AY209" s="260">
        <v>3.4463839999999997</v>
      </c>
      <c r="AZ209" s="260">
        <v>3.4543629999999999</v>
      </c>
      <c r="BA209" s="260">
        <v>3.462332</v>
      </c>
      <c r="BB209" s="260">
        <v>3.4702929999999999</v>
      </c>
      <c r="BC209" s="260">
        <v>3.4782449999999998</v>
      </c>
      <c r="BD209" s="260">
        <v>3.4861879999999998</v>
      </c>
      <c r="BE209" s="260">
        <v>3.494122</v>
      </c>
      <c r="BF209" s="260">
        <v>3.5020479999999998</v>
      </c>
      <c r="BG209" s="260">
        <v>3.5099639999999996</v>
      </c>
      <c r="BH209" s="260">
        <v>3.5178719999999997</v>
      </c>
      <c r="BI209" s="260">
        <v>3.5257699999999996</v>
      </c>
      <c r="BJ209" s="260">
        <v>3.5336599999999998</v>
      </c>
      <c r="BK209" s="260">
        <v>3.5415399999999999</v>
      </c>
      <c r="BL209" s="260">
        <v>3.5494119999999998</v>
      </c>
      <c r="BM209" s="260">
        <v>3.557274</v>
      </c>
      <c r="BN209" s="260">
        <v>3.5651269999999999</v>
      </c>
      <c r="BO209" s="260">
        <v>3.5729709999999999</v>
      </c>
      <c r="BP209" s="260">
        <v>3.5808049999999998</v>
      </c>
      <c r="BQ209" s="260">
        <v>3.5886309999999999</v>
      </c>
      <c r="BR209" s="260">
        <v>3.5964459999999998</v>
      </c>
      <c r="BS209" s="260">
        <v>3.6042529999999999</v>
      </c>
      <c r="BT209" s="260">
        <v>3.61205</v>
      </c>
      <c r="BU209" s="260">
        <v>3.6198379999999997</v>
      </c>
      <c r="BV209" s="260">
        <v>3.6276159999999997</v>
      </c>
      <c r="BW209" s="260">
        <v>3.6353849999999999</v>
      </c>
      <c r="BX209" s="260">
        <v>3.6431439999999999</v>
      </c>
      <c r="BY209" s="260">
        <v>3.6508929999999999</v>
      </c>
      <c r="BZ209" s="260">
        <v>3.658633</v>
      </c>
      <c r="CA209" s="260">
        <v>3.6663639999999997</v>
      </c>
      <c r="CB209" s="260">
        <v>3.6740839999999997</v>
      </c>
      <c r="CC209" s="260">
        <v>3.6817949999999997</v>
      </c>
      <c r="CD209" s="260">
        <v>3.6894959999999997</v>
      </c>
      <c r="CE209" s="260">
        <v>3.6971879999999997</v>
      </c>
      <c r="CF209" s="260">
        <v>3.704869</v>
      </c>
      <c r="CG209" s="260">
        <v>3.7125409999999999</v>
      </c>
      <c r="CH209" s="260">
        <v>3.7202029999999997</v>
      </c>
    </row>
    <row r="210" spans="1:86" x14ac:dyDescent="0.25">
      <c r="A210" s="170">
        <v>2</v>
      </c>
      <c r="B210" s="170">
        <v>99</v>
      </c>
      <c r="C210" s="259">
        <v>3.059938907623291</v>
      </c>
      <c r="D210" s="259">
        <v>3.0626499652862549</v>
      </c>
      <c r="E210" s="259">
        <v>3.0653500556945801</v>
      </c>
      <c r="F210" s="259">
        <v>3.0680389404296875</v>
      </c>
      <c r="G210" s="259">
        <v>3.0707180500030518</v>
      </c>
      <c r="H210" s="259">
        <v>3.0733850002288818</v>
      </c>
      <c r="I210" s="260">
        <v>2.8791929999999999</v>
      </c>
      <c r="J210" s="260">
        <v>2.8871009999999999</v>
      </c>
      <c r="K210" s="260">
        <v>2.8948399999999999</v>
      </c>
      <c r="L210" s="260">
        <v>2.902409</v>
      </c>
      <c r="M210" s="260">
        <v>2.9098129999999998</v>
      </c>
      <c r="N210" s="260">
        <v>2.9170590000000001</v>
      </c>
      <c r="O210" s="260">
        <v>2.9241579999999998</v>
      </c>
      <c r="P210" s="260">
        <v>2.9311249999999998</v>
      </c>
      <c r="Q210" s="260">
        <v>2.9379759999999999</v>
      </c>
      <c r="R210" s="260">
        <v>2.9447299999999998</v>
      </c>
      <c r="S210" s="260">
        <v>2.9514109999999998</v>
      </c>
      <c r="T210" s="260">
        <v>2.9580419999999998</v>
      </c>
      <c r="U210" s="260">
        <v>2.9646429999999997</v>
      </c>
      <c r="V210" s="260">
        <v>2.9712319999999997</v>
      </c>
      <c r="W210" s="260">
        <v>2.9778149999999997</v>
      </c>
      <c r="X210" s="260">
        <v>2.9843929999999999</v>
      </c>
      <c r="Y210" s="260">
        <v>2.990964</v>
      </c>
      <c r="Z210" s="260">
        <v>2.9975299999999998</v>
      </c>
      <c r="AA210" s="260">
        <v>3.004089</v>
      </c>
      <c r="AB210" s="260">
        <v>3.010643</v>
      </c>
      <c r="AC210" s="260">
        <v>3.0171899999999998</v>
      </c>
      <c r="AD210" s="260">
        <v>3.0237309999999997</v>
      </c>
      <c r="AE210" s="260">
        <v>3.0302659999999997</v>
      </c>
      <c r="AF210" s="260">
        <v>3.0367959999999998</v>
      </c>
      <c r="AG210" s="260">
        <v>3.0433189999999999</v>
      </c>
      <c r="AH210" s="260">
        <v>3.0498349999999999</v>
      </c>
      <c r="AI210" s="260">
        <v>3.056346</v>
      </c>
      <c r="AJ210" s="260">
        <v>3.0628500000000001</v>
      </c>
      <c r="AK210" s="260">
        <v>3.0693479999999997</v>
      </c>
      <c r="AL210" s="260">
        <v>3.0758399999999999</v>
      </c>
      <c r="AM210" s="260">
        <v>3.082325</v>
      </c>
      <c r="AN210" s="260">
        <v>3.0888049999999998</v>
      </c>
      <c r="AO210" s="260">
        <v>3.0952769999999998</v>
      </c>
      <c r="AP210" s="260">
        <v>3.1017440000000001</v>
      </c>
      <c r="AQ210" s="260">
        <v>3.108203</v>
      </c>
      <c r="AR210" s="260">
        <v>3.1146569999999998</v>
      </c>
      <c r="AS210" s="260">
        <v>3.1211039999999999</v>
      </c>
      <c r="AT210" s="260">
        <v>3.1275439999999999</v>
      </c>
      <c r="AU210" s="260">
        <v>3.1339779999999999</v>
      </c>
      <c r="AV210" s="260">
        <v>3.140406</v>
      </c>
      <c r="AW210" s="260">
        <v>3.1468259999999999</v>
      </c>
      <c r="AX210" s="260">
        <v>3.153241</v>
      </c>
      <c r="AY210" s="260">
        <v>3.1596479999999998</v>
      </c>
      <c r="AZ210" s="260">
        <v>3.1660489999999997</v>
      </c>
      <c r="BA210" s="260">
        <v>3.1724429999999999</v>
      </c>
      <c r="BB210" s="260">
        <v>3.1788309999999997</v>
      </c>
      <c r="BC210" s="260">
        <v>3.1852119999999999</v>
      </c>
      <c r="BD210" s="260">
        <v>3.191586</v>
      </c>
      <c r="BE210" s="260">
        <v>3.197953</v>
      </c>
      <c r="BF210" s="260">
        <v>3.2043139999999997</v>
      </c>
      <c r="BG210" s="260">
        <v>3.2106669999999999</v>
      </c>
      <c r="BH210" s="260">
        <v>3.2170139999999998</v>
      </c>
      <c r="BI210" s="260">
        <v>3.2233540000000001</v>
      </c>
      <c r="BJ210" s="260">
        <v>3.2296869999999998</v>
      </c>
      <c r="BK210" s="260">
        <v>3.2360139999999999</v>
      </c>
      <c r="BL210" s="260">
        <v>3.2423329999999999</v>
      </c>
      <c r="BM210" s="260">
        <v>3.2486449999999998</v>
      </c>
      <c r="BN210" s="260">
        <v>3.2549509999999997</v>
      </c>
      <c r="BO210" s="260">
        <v>3.2612489999999998</v>
      </c>
      <c r="BP210" s="260">
        <v>3.267541</v>
      </c>
      <c r="BQ210" s="260">
        <v>3.273825</v>
      </c>
      <c r="BR210" s="260">
        <v>3.2801019999999999</v>
      </c>
      <c r="BS210" s="260">
        <v>3.2863729999999998</v>
      </c>
      <c r="BT210" s="260">
        <v>3.2926359999999999</v>
      </c>
      <c r="BU210" s="260">
        <v>3.2988919999999999</v>
      </c>
      <c r="BV210" s="260">
        <v>3.3051409999999999</v>
      </c>
      <c r="BW210" s="260">
        <v>3.3113829999999997</v>
      </c>
      <c r="BX210" s="260">
        <v>3.3176169999999998</v>
      </c>
      <c r="BY210" s="260">
        <v>3.3238449999999999</v>
      </c>
      <c r="BZ210" s="260">
        <v>3.3300649999999998</v>
      </c>
      <c r="CA210" s="260">
        <v>3.3362779999999996</v>
      </c>
      <c r="CB210" s="260">
        <v>3.3424839999999998</v>
      </c>
      <c r="CC210" s="260">
        <v>3.3486829999999999</v>
      </c>
      <c r="CD210" s="260">
        <v>3.3548739999999997</v>
      </c>
      <c r="CE210" s="260">
        <v>3.3610579999999999</v>
      </c>
      <c r="CF210" s="260">
        <v>3.3672339999999998</v>
      </c>
      <c r="CG210" s="260">
        <v>3.3734039999999998</v>
      </c>
      <c r="CH210" s="260">
        <v>3.3795659999999996</v>
      </c>
    </row>
    <row r="211" spans="1:86" x14ac:dyDescent="0.25">
      <c r="A211" s="170">
        <v>2</v>
      </c>
      <c r="B211" s="170">
        <v>100</v>
      </c>
      <c r="C211" s="259">
        <v>2.837083101272583</v>
      </c>
      <c r="D211" s="259">
        <v>2.837083101272583</v>
      </c>
      <c r="E211" s="259">
        <v>2.837083101272583</v>
      </c>
      <c r="F211" s="259">
        <v>2.837083101272583</v>
      </c>
      <c r="G211" s="259">
        <v>2.837083101272583</v>
      </c>
      <c r="H211" s="259">
        <v>2.837083101272583</v>
      </c>
      <c r="I211" s="260">
        <v>2.6789350000000001</v>
      </c>
      <c r="J211" s="260">
        <v>2.6850540000000001</v>
      </c>
      <c r="K211" s="260">
        <v>2.6910419999999999</v>
      </c>
      <c r="L211" s="260">
        <v>2.6968989999999997</v>
      </c>
      <c r="M211" s="260">
        <v>2.7026269999999997</v>
      </c>
      <c r="N211" s="260">
        <v>2.7082319999999998</v>
      </c>
      <c r="O211" s="260">
        <v>2.713721</v>
      </c>
      <c r="P211" s="260">
        <v>2.7191049999999999</v>
      </c>
      <c r="Q211" s="260">
        <v>2.724396</v>
      </c>
      <c r="R211" s="260">
        <v>2.729609</v>
      </c>
      <c r="S211" s="260">
        <v>2.7347619999999999</v>
      </c>
      <c r="T211" s="260">
        <v>2.7398729999999998</v>
      </c>
      <c r="U211" s="260">
        <v>2.7449599999999998</v>
      </c>
      <c r="V211" s="260">
        <v>2.7500369999999998</v>
      </c>
      <c r="W211" s="260">
        <v>2.7551079999999999</v>
      </c>
      <c r="X211" s="260">
        <v>2.760176</v>
      </c>
      <c r="Y211" s="260">
        <v>2.7652380000000001</v>
      </c>
      <c r="Z211" s="260">
        <v>2.7702960000000001</v>
      </c>
      <c r="AA211" s="260">
        <v>2.7753489999999998</v>
      </c>
      <c r="AB211" s="260">
        <v>2.7803969999999998</v>
      </c>
      <c r="AC211" s="260">
        <v>2.7854410000000001</v>
      </c>
      <c r="AD211" s="260">
        <v>2.7904800000000001</v>
      </c>
      <c r="AE211" s="260">
        <v>2.7955139999999998</v>
      </c>
      <c r="AF211" s="260">
        <v>2.8005439999999999</v>
      </c>
      <c r="AG211" s="260">
        <v>2.8055680000000001</v>
      </c>
      <c r="AH211" s="260">
        <v>2.8105880000000001</v>
      </c>
      <c r="AI211" s="260">
        <v>2.8156029999999999</v>
      </c>
      <c r="AJ211" s="260">
        <v>2.820614</v>
      </c>
      <c r="AK211" s="260">
        <v>2.8256189999999997</v>
      </c>
      <c r="AL211" s="260">
        <v>2.8306199999999997</v>
      </c>
      <c r="AM211" s="260">
        <v>2.8356159999999999</v>
      </c>
      <c r="AN211" s="260">
        <v>2.8406069999999999</v>
      </c>
      <c r="AO211" s="260">
        <v>2.845593</v>
      </c>
      <c r="AP211" s="260">
        <v>2.8505739999999999</v>
      </c>
      <c r="AQ211" s="260">
        <v>2.85555</v>
      </c>
      <c r="AR211" s="260">
        <v>2.8605209999999999</v>
      </c>
      <c r="AS211" s="260">
        <v>2.865488</v>
      </c>
      <c r="AT211" s="260">
        <v>2.8704499999999999</v>
      </c>
      <c r="AU211" s="260">
        <v>2.8754059999999999</v>
      </c>
      <c r="AV211" s="260">
        <v>2.8803579999999998</v>
      </c>
      <c r="AW211" s="260">
        <v>2.8853040000000001</v>
      </c>
      <c r="AX211" s="260">
        <v>2.8902459999999999</v>
      </c>
      <c r="AY211" s="260">
        <v>2.8951829999999998</v>
      </c>
      <c r="AZ211" s="260">
        <v>2.900115</v>
      </c>
      <c r="BA211" s="260">
        <v>2.9050409999999998</v>
      </c>
      <c r="BB211" s="260">
        <v>2.9099629999999999</v>
      </c>
      <c r="BC211" s="260">
        <v>2.9148799999999997</v>
      </c>
      <c r="BD211" s="260">
        <v>2.919791</v>
      </c>
      <c r="BE211" s="260">
        <v>2.9246979999999998</v>
      </c>
      <c r="BF211" s="260">
        <v>2.9295999999999998</v>
      </c>
      <c r="BG211" s="260">
        <v>2.9344959999999998</v>
      </c>
      <c r="BH211" s="260">
        <v>2.939387</v>
      </c>
      <c r="BI211" s="260">
        <v>2.9442740000000001</v>
      </c>
      <c r="BJ211" s="260">
        <v>2.9491549999999997</v>
      </c>
      <c r="BK211" s="260">
        <v>2.9540310000000001</v>
      </c>
      <c r="BL211" s="260">
        <v>2.9589019999999997</v>
      </c>
      <c r="BM211" s="260">
        <v>2.963768</v>
      </c>
      <c r="BN211" s="260">
        <v>2.968629</v>
      </c>
      <c r="BO211" s="260">
        <v>2.973484</v>
      </c>
      <c r="BP211" s="260">
        <v>2.978335</v>
      </c>
      <c r="BQ211" s="260">
        <v>2.9831799999999999</v>
      </c>
      <c r="BR211" s="260">
        <v>2.9880199999999997</v>
      </c>
      <c r="BS211" s="260">
        <v>2.992855</v>
      </c>
      <c r="BT211" s="260">
        <v>2.997684</v>
      </c>
      <c r="BU211" s="260">
        <v>3.0025089999999999</v>
      </c>
      <c r="BV211" s="260">
        <v>3.0073279999999998</v>
      </c>
      <c r="BW211" s="260">
        <v>3.0121419999999999</v>
      </c>
      <c r="BX211" s="260">
        <v>3.0169509999999997</v>
      </c>
      <c r="BY211" s="260">
        <v>3.0217549999999997</v>
      </c>
      <c r="BZ211" s="260">
        <v>3.0265529999999998</v>
      </c>
      <c r="CA211" s="260">
        <v>3.0313459999999997</v>
      </c>
      <c r="CB211" s="260">
        <v>3.0361339999999997</v>
      </c>
      <c r="CC211" s="260">
        <v>3.0409169999999999</v>
      </c>
      <c r="CD211" s="260">
        <v>3.0456939999999997</v>
      </c>
      <c r="CE211" s="260">
        <v>3.0504659999999997</v>
      </c>
      <c r="CF211" s="260">
        <v>3.0552329999999999</v>
      </c>
      <c r="CG211" s="260">
        <v>3.0599939999999997</v>
      </c>
      <c r="CH211" s="260">
        <v>3.0647499999999996</v>
      </c>
    </row>
    <row r="212" spans="1:86" x14ac:dyDescent="0.25">
      <c r="A212" s="170">
        <v>2</v>
      </c>
      <c r="B212" s="170">
        <v>101</v>
      </c>
      <c r="C212" s="259">
        <v>2.6448171138763428</v>
      </c>
      <c r="D212" s="259">
        <v>2.6448171138763428</v>
      </c>
      <c r="E212" s="259">
        <v>2.6448171138763428</v>
      </c>
      <c r="F212" s="259">
        <v>2.6448171138763428</v>
      </c>
      <c r="G212" s="259">
        <v>2.6448171138763428</v>
      </c>
      <c r="H212" s="259">
        <v>2.6448171138763428</v>
      </c>
      <c r="I212" s="260">
        <v>2.4951349999999999</v>
      </c>
      <c r="J212" s="260">
        <v>2.4996019999999999</v>
      </c>
      <c r="K212" s="260">
        <v>2.5039729999999998</v>
      </c>
      <c r="L212" s="260">
        <v>2.5082489999999997</v>
      </c>
      <c r="M212" s="260">
        <v>2.512429</v>
      </c>
      <c r="N212" s="260">
        <v>2.5165189999999997</v>
      </c>
      <c r="O212" s="260">
        <v>2.520524</v>
      </c>
      <c r="P212" s="260">
        <v>2.5244489999999997</v>
      </c>
      <c r="Q212" s="260">
        <v>2.528305</v>
      </c>
      <c r="R212" s="260">
        <v>2.5321020000000001</v>
      </c>
      <c r="S212" s="260">
        <v>2.5358519999999998</v>
      </c>
      <c r="T212" s="260">
        <v>2.5395689999999997</v>
      </c>
      <c r="U212" s="260">
        <v>2.5432669999999997</v>
      </c>
      <c r="V212" s="260">
        <v>2.5469559999999998</v>
      </c>
      <c r="W212" s="260">
        <v>2.550643</v>
      </c>
      <c r="X212" s="260">
        <v>2.554325</v>
      </c>
      <c r="Y212" s="260">
        <v>2.5580050000000001</v>
      </c>
      <c r="Z212" s="260">
        <v>2.5616810000000001</v>
      </c>
      <c r="AA212" s="260">
        <v>2.565353</v>
      </c>
      <c r="AB212" s="260">
        <v>2.5690219999999999</v>
      </c>
      <c r="AC212" s="260">
        <v>2.5726879999999999</v>
      </c>
      <c r="AD212" s="260">
        <v>2.5763499999999997</v>
      </c>
      <c r="AE212" s="260">
        <v>2.580009</v>
      </c>
      <c r="AF212" s="260">
        <v>2.5836639999999997</v>
      </c>
      <c r="AG212" s="260">
        <v>2.5873159999999999</v>
      </c>
      <c r="AH212" s="260">
        <v>2.590964</v>
      </c>
      <c r="AI212" s="260">
        <v>2.5946089999999997</v>
      </c>
      <c r="AJ212" s="260">
        <v>2.5982499999999997</v>
      </c>
      <c r="AK212" s="260">
        <v>2.6018879999999998</v>
      </c>
      <c r="AL212" s="260">
        <v>2.6055219999999997</v>
      </c>
      <c r="AM212" s="260">
        <v>2.6091530000000001</v>
      </c>
      <c r="AN212" s="260">
        <v>2.6127799999999999</v>
      </c>
      <c r="AO212" s="260">
        <v>2.616403</v>
      </c>
      <c r="AP212" s="260">
        <v>2.6200239999999999</v>
      </c>
      <c r="AQ212" s="260">
        <v>2.62364</v>
      </c>
      <c r="AR212" s="260">
        <v>2.6272530000000001</v>
      </c>
      <c r="AS212" s="260">
        <v>2.6308629999999997</v>
      </c>
      <c r="AT212" s="260">
        <v>2.6344689999999997</v>
      </c>
      <c r="AU212" s="260">
        <v>2.6380719999999998</v>
      </c>
      <c r="AV212" s="260">
        <v>2.6416710000000001</v>
      </c>
      <c r="AW212" s="260">
        <v>2.6452659999999999</v>
      </c>
      <c r="AX212" s="260">
        <v>2.6488579999999997</v>
      </c>
      <c r="AY212" s="260">
        <v>2.6524459999999999</v>
      </c>
      <c r="AZ212" s="260">
        <v>2.656031</v>
      </c>
      <c r="BA212" s="260">
        <v>2.6596129999999998</v>
      </c>
      <c r="BB212" s="260">
        <v>2.6631899999999997</v>
      </c>
      <c r="BC212" s="260">
        <v>2.6667639999999997</v>
      </c>
      <c r="BD212" s="260">
        <v>2.6703349999999997</v>
      </c>
      <c r="BE212" s="260">
        <v>2.673902</v>
      </c>
      <c r="BF212" s="260">
        <v>2.6774659999999999</v>
      </c>
      <c r="BG212" s="260">
        <v>2.681025</v>
      </c>
      <c r="BH212" s="260">
        <v>2.6845819999999998</v>
      </c>
      <c r="BI212" s="260">
        <v>2.6881339999999998</v>
      </c>
      <c r="BJ212" s="260">
        <v>2.691684</v>
      </c>
      <c r="BK212" s="260">
        <v>2.6952289999999999</v>
      </c>
      <c r="BL212" s="260">
        <v>2.6987709999999998</v>
      </c>
      <c r="BM212" s="260">
        <v>2.7023099999999998</v>
      </c>
      <c r="BN212" s="260">
        <v>2.7058439999999999</v>
      </c>
      <c r="BO212" s="260">
        <v>2.7093759999999998</v>
      </c>
      <c r="BP212" s="260">
        <v>2.7129029999999998</v>
      </c>
      <c r="BQ212" s="260">
        <v>2.7164269999999999</v>
      </c>
      <c r="BR212" s="260">
        <v>2.719948</v>
      </c>
      <c r="BS212" s="260">
        <v>2.7234639999999999</v>
      </c>
      <c r="BT212" s="260">
        <v>2.7269779999999999</v>
      </c>
      <c r="BU212" s="260">
        <v>2.7304869999999997</v>
      </c>
      <c r="BV212" s="260">
        <v>2.7339929999999999</v>
      </c>
      <c r="BW212" s="260">
        <v>2.7374959999999997</v>
      </c>
      <c r="BX212" s="260">
        <v>2.7409939999999997</v>
      </c>
      <c r="BY212" s="260">
        <v>2.7444899999999999</v>
      </c>
      <c r="BZ212" s="260">
        <v>2.7479809999999998</v>
      </c>
      <c r="CA212" s="260">
        <v>2.7514689999999997</v>
      </c>
      <c r="CB212" s="260">
        <v>2.754953</v>
      </c>
      <c r="CC212" s="260">
        <v>2.7584339999999998</v>
      </c>
      <c r="CD212" s="260">
        <v>2.761911</v>
      </c>
      <c r="CE212" s="260">
        <v>2.7653840000000001</v>
      </c>
      <c r="CF212" s="260">
        <v>2.7688539999999997</v>
      </c>
      <c r="CG212" s="260">
        <v>2.7723199999999997</v>
      </c>
      <c r="CH212" s="260">
        <v>2.775782</v>
      </c>
    </row>
    <row r="213" spans="1:86" x14ac:dyDescent="0.25">
      <c r="A213" s="170">
        <v>2</v>
      </c>
      <c r="B213" s="170">
        <v>102</v>
      </c>
      <c r="C213" s="259">
        <v>2.4629499912261963</v>
      </c>
      <c r="D213" s="259">
        <v>2.4629499912261963</v>
      </c>
      <c r="E213" s="259">
        <v>2.4629499912261963</v>
      </c>
      <c r="F213" s="259">
        <v>2.4629499912261963</v>
      </c>
      <c r="G213" s="259">
        <v>2.4629499912261963</v>
      </c>
      <c r="H213" s="259">
        <v>2.4629499912261963</v>
      </c>
      <c r="I213" s="260">
        <v>2.3264339999999999</v>
      </c>
      <c r="J213" s="260">
        <v>2.3294060000000001</v>
      </c>
      <c r="K213" s="260">
        <v>2.3323160000000001</v>
      </c>
      <c r="L213" s="260">
        <v>2.3351609999999998</v>
      </c>
      <c r="M213" s="260">
        <v>2.3379439999999998</v>
      </c>
      <c r="N213" s="260">
        <v>2.340665</v>
      </c>
      <c r="O213" s="260">
        <v>2.3433299999999999</v>
      </c>
      <c r="P213" s="260">
        <v>2.3459399999999997</v>
      </c>
      <c r="Q213" s="260">
        <v>2.348503</v>
      </c>
      <c r="R213" s="260">
        <v>2.3510249999999999</v>
      </c>
      <c r="S213" s="260">
        <v>2.3535140000000001</v>
      </c>
      <c r="T213" s="260">
        <v>2.355979</v>
      </c>
      <c r="U213" s="260">
        <v>2.3584299999999998</v>
      </c>
      <c r="V213" s="260">
        <v>2.3608750000000001</v>
      </c>
      <c r="W213" s="260">
        <v>2.363318</v>
      </c>
      <c r="X213" s="260">
        <v>2.365758</v>
      </c>
      <c r="Y213" s="260">
        <v>2.3681959999999997</v>
      </c>
      <c r="Z213" s="260">
        <v>2.3706320000000001</v>
      </c>
      <c r="AA213" s="260">
        <v>2.3730659999999997</v>
      </c>
      <c r="AB213" s="260">
        <v>2.3754969999999997</v>
      </c>
      <c r="AC213" s="260">
        <v>2.377926</v>
      </c>
      <c r="AD213" s="260">
        <v>2.3803529999999999</v>
      </c>
      <c r="AE213" s="260">
        <v>2.3827780000000001</v>
      </c>
      <c r="AF213" s="260">
        <v>2.3851999999999998</v>
      </c>
      <c r="AG213" s="260">
        <v>2.3876200000000001</v>
      </c>
      <c r="AH213" s="260">
        <v>2.3900380000000001</v>
      </c>
      <c r="AI213" s="260">
        <v>2.3924539999999999</v>
      </c>
      <c r="AJ213" s="260">
        <v>2.3948670000000001</v>
      </c>
      <c r="AK213" s="260">
        <v>2.397278</v>
      </c>
      <c r="AL213" s="260">
        <v>2.3996869999999997</v>
      </c>
      <c r="AM213" s="260">
        <v>2.402094</v>
      </c>
      <c r="AN213" s="260">
        <v>2.4044979999999998</v>
      </c>
      <c r="AO213" s="260">
        <v>2.4068999999999998</v>
      </c>
      <c r="AP213" s="260">
        <v>2.4093</v>
      </c>
      <c r="AQ213" s="260">
        <v>2.4116979999999999</v>
      </c>
      <c r="AR213" s="260">
        <v>2.4140929999999998</v>
      </c>
      <c r="AS213" s="260">
        <v>2.4164859999999999</v>
      </c>
      <c r="AT213" s="260">
        <v>2.4188769999999997</v>
      </c>
      <c r="AU213" s="260">
        <v>2.421265</v>
      </c>
      <c r="AV213" s="260">
        <v>2.423651</v>
      </c>
      <c r="AW213" s="260">
        <v>2.4260349999999997</v>
      </c>
      <c r="AX213" s="260">
        <v>2.428417</v>
      </c>
      <c r="AY213" s="260">
        <v>2.4307970000000001</v>
      </c>
      <c r="AZ213" s="260">
        <v>2.4331739999999997</v>
      </c>
      <c r="BA213" s="260">
        <v>2.435549</v>
      </c>
      <c r="BB213" s="260">
        <v>2.4379219999999999</v>
      </c>
      <c r="BC213" s="260">
        <v>2.4402919999999999</v>
      </c>
      <c r="BD213" s="260">
        <v>2.4426600000000001</v>
      </c>
      <c r="BE213" s="260">
        <v>2.4450259999999999</v>
      </c>
      <c r="BF213" s="260">
        <v>2.44739</v>
      </c>
      <c r="BG213" s="260">
        <v>2.449751</v>
      </c>
      <c r="BH213" s="260">
        <v>2.4521099999999998</v>
      </c>
      <c r="BI213" s="260">
        <v>2.4544669999999997</v>
      </c>
      <c r="BJ213" s="260">
        <v>2.4568219999999998</v>
      </c>
      <c r="BK213" s="260">
        <v>2.459174</v>
      </c>
      <c r="BL213" s="260">
        <v>2.461525</v>
      </c>
      <c r="BM213" s="260">
        <v>2.4638719999999998</v>
      </c>
      <c r="BN213" s="260">
        <v>2.466218</v>
      </c>
      <c r="BO213" s="260">
        <v>2.4685609999999998</v>
      </c>
      <c r="BP213" s="260">
        <v>2.4709029999999998</v>
      </c>
      <c r="BQ213" s="260">
        <v>2.4732409999999998</v>
      </c>
      <c r="BR213" s="260">
        <v>2.4755780000000001</v>
      </c>
      <c r="BS213" s="260">
        <v>2.4779119999999999</v>
      </c>
      <c r="BT213" s="260">
        <v>2.480245</v>
      </c>
      <c r="BU213" s="260">
        <v>2.4825740000000001</v>
      </c>
      <c r="BV213" s="260">
        <v>2.4849019999999999</v>
      </c>
      <c r="BW213" s="260">
        <v>2.4872269999999999</v>
      </c>
      <c r="BX213" s="260">
        <v>2.4895499999999999</v>
      </c>
      <c r="BY213" s="260">
        <v>2.4918709999999997</v>
      </c>
      <c r="BZ213" s="260">
        <v>2.4941899999999997</v>
      </c>
      <c r="CA213" s="260">
        <v>2.4965059999999997</v>
      </c>
      <c r="CB213" s="260">
        <v>2.4988199999999998</v>
      </c>
      <c r="CC213" s="260">
        <v>2.5011319999999997</v>
      </c>
      <c r="CD213" s="260">
        <v>2.5034419999999997</v>
      </c>
      <c r="CE213" s="260">
        <v>2.5057489999999998</v>
      </c>
      <c r="CF213" s="260">
        <v>2.508054</v>
      </c>
      <c r="CG213" s="260">
        <v>2.5103569999999999</v>
      </c>
      <c r="CH213" s="260">
        <v>2.5126580000000001</v>
      </c>
    </row>
    <row r="214" spans="1:86" x14ac:dyDescent="0.25">
      <c r="A214" s="170">
        <v>2</v>
      </c>
      <c r="B214" s="170">
        <v>103</v>
      </c>
      <c r="C214" s="259">
        <v>2.2900900840759277</v>
      </c>
      <c r="D214" s="259">
        <v>2.2900900840759277</v>
      </c>
      <c r="E214" s="259">
        <v>2.2900900840759277</v>
      </c>
      <c r="F214" s="259">
        <v>2.2900900840759277</v>
      </c>
      <c r="G214" s="259">
        <v>2.2900900840759277</v>
      </c>
      <c r="H214" s="259">
        <v>2.2900900840759277</v>
      </c>
      <c r="I214" s="260">
        <v>2.1710319999999999</v>
      </c>
      <c r="J214" s="260">
        <v>2.1727059999999998</v>
      </c>
      <c r="K214" s="260">
        <v>2.1743449999999998</v>
      </c>
      <c r="L214" s="260">
        <v>2.175948</v>
      </c>
      <c r="M214" s="260">
        <v>2.1775150000000001</v>
      </c>
      <c r="N214" s="260">
        <v>2.1790479999999999</v>
      </c>
      <c r="O214" s="260">
        <v>2.1805479999999999</v>
      </c>
      <c r="P214" s="260">
        <v>2.1820179999999998</v>
      </c>
      <c r="Q214" s="260">
        <v>2.1834609999999999</v>
      </c>
      <c r="R214" s="260">
        <v>2.184879</v>
      </c>
      <c r="S214" s="260">
        <v>2.1862789999999999</v>
      </c>
      <c r="T214" s="260">
        <v>2.1876629999999997</v>
      </c>
      <c r="U214" s="260">
        <v>2.189038</v>
      </c>
      <c r="V214" s="260">
        <v>2.19041</v>
      </c>
      <c r="W214" s="260">
        <v>2.1917800000000001</v>
      </c>
      <c r="X214" s="260">
        <v>2.1931499999999997</v>
      </c>
      <c r="Y214" s="260">
        <v>2.194518</v>
      </c>
      <c r="Z214" s="260">
        <v>2.1958850000000001</v>
      </c>
      <c r="AA214" s="260">
        <v>2.1972510000000001</v>
      </c>
      <c r="AB214" s="260">
        <v>2.1986149999999998</v>
      </c>
      <c r="AC214" s="260">
        <v>2.1999789999999999</v>
      </c>
      <c r="AD214" s="260">
        <v>2.2013409999999998</v>
      </c>
      <c r="AE214" s="260">
        <v>2.2027019999999999</v>
      </c>
      <c r="AF214" s="260">
        <v>2.204062</v>
      </c>
      <c r="AG214" s="260">
        <v>2.2054209999999999</v>
      </c>
      <c r="AH214" s="260">
        <v>2.206779</v>
      </c>
      <c r="AI214" s="260">
        <v>2.208135</v>
      </c>
      <c r="AJ214" s="260">
        <v>2.2094909999999999</v>
      </c>
      <c r="AK214" s="260">
        <v>2.2108449999999999</v>
      </c>
      <c r="AL214" s="260">
        <v>2.2121979999999999</v>
      </c>
      <c r="AM214" s="260">
        <v>2.2135499999999997</v>
      </c>
      <c r="AN214" s="260">
        <v>2.2149000000000001</v>
      </c>
      <c r="AO214" s="260">
        <v>2.2162500000000001</v>
      </c>
      <c r="AP214" s="260">
        <v>2.2175979999999997</v>
      </c>
      <c r="AQ214" s="260">
        <v>2.2189459999999999</v>
      </c>
      <c r="AR214" s="260">
        <v>2.2202919999999997</v>
      </c>
      <c r="AS214" s="260">
        <v>2.2216369999999999</v>
      </c>
      <c r="AT214" s="260">
        <v>2.2229809999999999</v>
      </c>
      <c r="AU214" s="260">
        <v>2.2243230000000001</v>
      </c>
      <c r="AV214" s="260">
        <v>2.2256649999999998</v>
      </c>
      <c r="AW214" s="260">
        <v>2.2270049999999997</v>
      </c>
      <c r="AX214" s="260">
        <v>2.2283439999999999</v>
      </c>
      <c r="AY214" s="260">
        <v>2.2296819999999999</v>
      </c>
      <c r="AZ214" s="260">
        <v>2.2310189999999999</v>
      </c>
      <c r="BA214" s="260">
        <v>2.2323550000000001</v>
      </c>
      <c r="BB214" s="260">
        <v>2.2336899999999997</v>
      </c>
      <c r="BC214" s="260">
        <v>2.235023</v>
      </c>
      <c r="BD214" s="260">
        <v>2.2363550000000001</v>
      </c>
      <c r="BE214" s="260">
        <v>2.2376869999999998</v>
      </c>
      <c r="BF214" s="260">
        <v>2.239017</v>
      </c>
      <c r="BG214" s="260">
        <v>2.240345</v>
      </c>
      <c r="BH214" s="260">
        <v>2.241673</v>
      </c>
      <c r="BI214" s="260">
        <v>2.2429999999999999</v>
      </c>
      <c r="BJ214" s="260">
        <v>2.2443249999999999</v>
      </c>
      <c r="BK214" s="260">
        <v>2.2456499999999999</v>
      </c>
      <c r="BL214" s="260">
        <v>2.2469730000000001</v>
      </c>
      <c r="BM214" s="260">
        <v>2.2482949999999997</v>
      </c>
      <c r="BN214" s="260">
        <v>2.2496160000000001</v>
      </c>
      <c r="BO214" s="260">
        <v>2.2509349999999997</v>
      </c>
      <c r="BP214" s="260">
        <v>2.2522539999999998</v>
      </c>
      <c r="BQ214" s="260">
        <v>2.2535719999999997</v>
      </c>
      <c r="BR214" s="260">
        <v>2.2548879999999998</v>
      </c>
      <c r="BS214" s="260">
        <v>2.2562029999999997</v>
      </c>
      <c r="BT214" s="260">
        <v>2.257517</v>
      </c>
      <c r="BU214" s="260">
        <v>2.2588300000000001</v>
      </c>
      <c r="BV214" s="260">
        <v>2.2601420000000001</v>
      </c>
      <c r="BW214" s="260">
        <v>2.2614529999999999</v>
      </c>
      <c r="BX214" s="260">
        <v>2.2627619999999999</v>
      </c>
      <c r="BY214" s="260">
        <v>2.2640709999999999</v>
      </c>
      <c r="BZ214" s="260">
        <v>2.2653780000000001</v>
      </c>
      <c r="CA214" s="260">
        <v>2.2666839999999997</v>
      </c>
      <c r="CB214" s="260">
        <v>2.267989</v>
      </c>
      <c r="CC214" s="260">
        <v>2.2692929999999998</v>
      </c>
      <c r="CD214" s="260">
        <v>2.2705959999999998</v>
      </c>
      <c r="CE214" s="260">
        <v>2.2718979999999998</v>
      </c>
      <c r="CF214" s="260">
        <v>2.2731979999999998</v>
      </c>
      <c r="CG214" s="260">
        <v>2.2744969999999998</v>
      </c>
      <c r="CH214" s="260">
        <v>2.2757959999999997</v>
      </c>
    </row>
    <row r="215" spans="1:86" x14ac:dyDescent="0.25">
      <c r="A215" s="170">
        <v>2</v>
      </c>
      <c r="B215" s="170">
        <v>104</v>
      </c>
      <c r="C215" s="259">
        <v>2.1240119934082031</v>
      </c>
      <c r="D215" s="259">
        <v>2.1240119934082031</v>
      </c>
      <c r="E215" s="259">
        <v>2.1240119934082031</v>
      </c>
      <c r="F215" s="259">
        <v>2.1240119934082031</v>
      </c>
      <c r="G215" s="259">
        <v>2.1240119934082031</v>
      </c>
      <c r="H215" s="259">
        <v>2.1240119934082031</v>
      </c>
      <c r="I215" s="260">
        <v>2.0263599999999999</v>
      </c>
      <c r="J215" s="260">
        <v>2.026999</v>
      </c>
      <c r="K215" s="260">
        <v>2.027625</v>
      </c>
      <c r="L215" s="260">
        <v>2.028238</v>
      </c>
      <c r="M215" s="260">
        <v>2.0288379999999999</v>
      </c>
      <c r="N215" s="260">
        <v>2.0294249999999998</v>
      </c>
      <c r="O215" s="260">
        <v>2.0299990000000001</v>
      </c>
      <c r="P215" s="260">
        <v>2.0305610000000001</v>
      </c>
      <c r="Q215" s="260">
        <v>2.0311129999999999</v>
      </c>
      <c r="R215" s="260">
        <v>2.0316549999999998</v>
      </c>
      <c r="S215" s="260">
        <v>2.0321889999999998</v>
      </c>
      <c r="T215" s="260">
        <v>2.032718</v>
      </c>
      <c r="U215" s="260">
        <v>2.033242</v>
      </c>
      <c r="V215" s="260">
        <v>2.0337649999999998</v>
      </c>
      <c r="W215" s="260">
        <v>2.0342880000000001</v>
      </c>
      <c r="X215" s="260">
        <v>2.0348109999999999</v>
      </c>
      <c r="Y215" s="260">
        <v>2.0353330000000001</v>
      </c>
      <c r="Z215" s="260">
        <v>2.0358549999999997</v>
      </c>
      <c r="AA215" s="260">
        <v>2.0363759999999997</v>
      </c>
      <c r="AB215" s="260">
        <v>2.0368969999999997</v>
      </c>
      <c r="AC215" s="260">
        <v>2.0374179999999997</v>
      </c>
      <c r="AD215" s="260">
        <v>2.037938</v>
      </c>
      <c r="AE215" s="260">
        <v>2.0384579999999999</v>
      </c>
      <c r="AF215" s="260">
        <v>2.0389779999999997</v>
      </c>
      <c r="AG215" s="260">
        <v>2.0394969999999999</v>
      </c>
      <c r="AH215" s="260">
        <v>2.0400160000000001</v>
      </c>
      <c r="AI215" s="260">
        <v>2.0405349999999998</v>
      </c>
      <c r="AJ215" s="260">
        <v>2.0410529999999998</v>
      </c>
      <c r="AK215" s="260">
        <v>2.0415709999999998</v>
      </c>
      <c r="AL215" s="260">
        <v>2.0420889999999998</v>
      </c>
      <c r="AM215" s="260">
        <v>2.0426059999999997</v>
      </c>
      <c r="AN215" s="260">
        <v>2.043123</v>
      </c>
      <c r="AO215" s="260">
        <v>2.0436399999999999</v>
      </c>
      <c r="AP215" s="260">
        <v>2.0441560000000001</v>
      </c>
      <c r="AQ215" s="260">
        <v>2.0446719999999998</v>
      </c>
      <c r="AR215" s="260">
        <v>2.0451869999999999</v>
      </c>
      <c r="AS215" s="260">
        <v>2.045703</v>
      </c>
      <c r="AT215" s="260">
        <v>2.0462180000000001</v>
      </c>
      <c r="AU215" s="260">
        <v>2.046732</v>
      </c>
      <c r="AV215" s="260">
        <v>2.0472459999999999</v>
      </c>
      <c r="AW215" s="260">
        <v>2.0477599999999998</v>
      </c>
      <c r="AX215" s="260">
        <v>2.0482739999999997</v>
      </c>
      <c r="AY215" s="260">
        <v>2.0487869999999999</v>
      </c>
      <c r="AZ215" s="260">
        <v>2.0493000000000001</v>
      </c>
      <c r="BA215" s="260">
        <v>2.0498119999999997</v>
      </c>
      <c r="BB215" s="260">
        <v>2.0503239999999998</v>
      </c>
      <c r="BC215" s="260">
        <v>2.0508359999999999</v>
      </c>
      <c r="BD215" s="260">
        <v>2.0513469999999998</v>
      </c>
      <c r="BE215" s="260">
        <v>2.0518589999999999</v>
      </c>
      <c r="BF215" s="260">
        <v>2.0523690000000001</v>
      </c>
      <c r="BG215" s="260">
        <v>2.05288</v>
      </c>
      <c r="BH215" s="260">
        <v>2.0533899999999998</v>
      </c>
      <c r="BI215" s="260">
        <v>2.0539000000000001</v>
      </c>
      <c r="BJ215" s="260">
        <v>2.0544089999999997</v>
      </c>
      <c r="BK215" s="260">
        <v>2.0549179999999998</v>
      </c>
      <c r="BL215" s="260">
        <v>2.0554269999999999</v>
      </c>
      <c r="BM215" s="260">
        <v>2.0559349999999998</v>
      </c>
      <c r="BN215" s="260">
        <v>2.0564429999999998</v>
      </c>
      <c r="BO215" s="260">
        <v>2.0569509999999998</v>
      </c>
      <c r="BP215" s="260">
        <v>2.057458</v>
      </c>
      <c r="BQ215" s="260">
        <v>2.0579649999999998</v>
      </c>
      <c r="BR215" s="260">
        <v>2.0584720000000001</v>
      </c>
      <c r="BS215" s="260">
        <v>2.0589779999999998</v>
      </c>
      <c r="BT215" s="260">
        <v>2.0594839999999999</v>
      </c>
      <c r="BU215" s="260">
        <v>2.05999</v>
      </c>
      <c r="BV215" s="260">
        <v>2.060495</v>
      </c>
      <c r="BW215" s="260">
        <v>2.0609999999999999</v>
      </c>
      <c r="BX215" s="260">
        <v>2.0615049999999999</v>
      </c>
      <c r="BY215" s="260">
        <v>2.0620089999999998</v>
      </c>
      <c r="BZ215" s="260">
        <v>2.062513</v>
      </c>
      <c r="CA215" s="260">
        <v>2.0630169999999999</v>
      </c>
      <c r="CB215" s="260">
        <v>2.06352</v>
      </c>
      <c r="CC215" s="260">
        <v>2.0640229999999997</v>
      </c>
      <c r="CD215" s="260">
        <v>2.0645259999999999</v>
      </c>
      <c r="CE215" s="260">
        <v>2.0650279999999999</v>
      </c>
      <c r="CF215" s="260">
        <v>2.0655299999999999</v>
      </c>
      <c r="CG215" s="260">
        <v>2.0660319999999999</v>
      </c>
      <c r="CH215" s="260">
        <v>2.0665329999999997</v>
      </c>
    </row>
    <row r="216" spans="1:86" x14ac:dyDescent="0.25">
      <c r="A216" s="170">
        <v>2</v>
      </c>
      <c r="B216" s="170">
        <v>105</v>
      </c>
      <c r="C216" s="259">
        <v>1.960955023765564</v>
      </c>
      <c r="D216" s="259">
        <v>1.960955023765564</v>
      </c>
      <c r="E216" s="259">
        <v>1.960955023765564</v>
      </c>
      <c r="F216" s="259">
        <v>1.960955023765564</v>
      </c>
      <c r="G216" s="259">
        <v>1.960955023765564</v>
      </c>
      <c r="H216" s="259">
        <v>1.960955023765564</v>
      </c>
      <c r="I216" s="260">
        <v>1.8884069999999999</v>
      </c>
      <c r="J216" s="260">
        <v>1.8884069999999999</v>
      </c>
      <c r="K216" s="260">
        <v>1.8884069999999999</v>
      </c>
      <c r="L216" s="260">
        <v>1.8884069999999999</v>
      </c>
      <c r="M216" s="260">
        <v>1.8884069999999999</v>
      </c>
      <c r="N216" s="260">
        <v>1.8884069999999999</v>
      </c>
      <c r="O216" s="260">
        <v>1.8884069999999999</v>
      </c>
      <c r="P216" s="260">
        <v>1.8884069999999999</v>
      </c>
      <c r="Q216" s="260">
        <v>1.8884069999999999</v>
      </c>
      <c r="R216" s="260">
        <v>1.8884069999999999</v>
      </c>
      <c r="S216" s="260">
        <v>1.8884069999999999</v>
      </c>
      <c r="T216" s="260">
        <v>1.8884069999999999</v>
      </c>
      <c r="U216" s="260">
        <v>1.8884069999999999</v>
      </c>
      <c r="V216" s="260">
        <v>1.8884069999999999</v>
      </c>
      <c r="W216" s="260">
        <v>1.8884069999999999</v>
      </c>
      <c r="X216" s="260">
        <v>1.8884069999999999</v>
      </c>
      <c r="Y216" s="260">
        <v>1.8884069999999999</v>
      </c>
      <c r="Z216" s="260">
        <v>1.8884069999999999</v>
      </c>
      <c r="AA216" s="260">
        <v>1.8884069999999999</v>
      </c>
      <c r="AB216" s="260">
        <v>1.8884069999999999</v>
      </c>
      <c r="AC216" s="260">
        <v>1.8884069999999999</v>
      </c>
      <c r="AD216" s="260">
        <v>1.8884069999999999</v>
      </c>
      <c r="AE216" s="260">
        <v>1.8884069999999999</v>
      </c>
      <c r="AF216" s="260">
        <v>1.8884069999999999</v>
      </c>
      <c r="AG216" s="260">
        <v>1.8884069999999999</v>
      </c>
      <c r="AH216" s="260">
        <v>1.8884069999999999</v>
      </c>
      <c r="AI216" s="260">
        <v>1.8884069999999999</v>
      </c>
      <c r="AJ216" s="260">
        <v>1.8884069999999999</v>
      </c>
      <c r="AK216" s="260">
        <v>1.8884069999999999</v>
      </c>
      <c r="AL216" s="260">
        <v>1.8884069999999999</v>
      </c>
      <c r="AM216" s="260">
        <v>1.8884069999999999</v>
      </c>
      <c r="AN216" s="260">
        <v>1.8884069999999999</v>
      </c>
      <c r="AO216" s="260">
        <v>1.8884069999999999</v>
      </c>
      <c r="AP216" s="260">
        <v>1.8884069999999999</v>
      </c>
      <c r="AQ216" s="260">
        <v>1.8884069999999999</v>
      </c>
      <c r="AR216" s="260">
        <v>1.8884069999999999</v>
      </c>
      <c r="AS216" s="260">
        <v>1.8884069999999999</v>
      </c>
      <c r="AT216" s="260">
        <v>1.8884069999999999</v>
      </c>
      <c r="AU216" s="260">
        <v>1.8884069999999999</v>
      </c>
      <c r="AV216" s="260">
        <v>1.8884069999999999</v>
      </c>
      <c r="AW216" s="260">
        <v>1.8884069999999999</v>
      </c>
      <c r="AX216" s="260">
        <v>1.8884069999999999</v>
      </c>
      <c r="AY216" s="260">
        <v>1.8884069999999999</v>
      </c>
      <c r="AZ216" s="260">
        <v>1.8884069999999999</v>
      </c>
      <c r="BA216" s="260">
        <v>1.8884069999999999</v>
      </c>
      <c r="BB216" s="260">
        <v>1.8884069999999999</v>
      </c>
      <c r="BC216" s="260">
        <v>1.8884069999999999</v>
      </c>
      <c r="BD216" s="260">
        <v>1.8884069999999999</v>
      </c>
      <c r="BE216" s="260">
        <v>1.8884069999999999</v>
      </c>
      <c r="BF216" s="260">
        <v>1.8884069999999999</v>
      </c>
      <c r="BG216" s="260">
        <v>1.8884069999999999</v>
      </c>
      <c r="BH216" s="260">
        <v>1.8884069999999999</v>
      </c>
      <c r="BI216" s="260">
        <v>1.8884069999999999</v>
      </c>
      <c r="BJ216" s="260">
        <v>1.8884069999999999</v>
      </c>
      <c r="BK216" s="260">
        <v>1.8884069999999999</v>
      </c>
      <c r="BL216" s="260">
        <v>1.8884069999999999</v>
      </c>
      <c r="BM216" s="260">
        <v>1.8884069999999999</v>
      </c>
      <c r="BN216" s="260">
        <v>1.8884069999999999</v>
      </c>
      <c r="BO216" s="260">
        <v>1.8884069999999999</v>
      </c>
      <c r="BP216" s="260">
        <v>1.8884069999999999</v>
      </c>
      <c r="BQ216" s="260">
        <v>1.8884069999999999</v>
      </c>
      <c r="BR216" s="260">
        <v>1.8884069999999999</v>
      </c>
      <c r="BS216" s="260">
        <v>1.8884069999999999</v>
      </c>
      <c r="BT216" s="260">
        <v>1.8884069999999999</v>
      </c>
      <c r="BU216" s="260">
        <v>1.8884069999999999</v>
      </c>
      <c r="BV216" s="260">
        <v>1.8884069999999999</v>
      </c>
      <c r="BW216" s="260">
        <v>1.8884069999999999</v>
      </c>
      <c r="BX216" s="260">
        <v>1.8884069999999999</v>
      </c>
      <c r="BY216" s="260">
        <v>1.8884069999999999</v>
      </c>
      <c r="BZ216" s="260">
        <v>1.8884069999999999</v>
      </c>
      <c r="CA216" s="260">
        <v>1.8884069999999999</v>
      </c>
      <c r="CB216" s="260">
        <v>1.8884069999999999</v>
      </c>
      <c r="CC216" s="260">
        <v>1.8884069999999999</v>
      </c>
      <c r="CD216" s="260">
        <v>1.8884069999999999</v>
      </c>
      <c r="CE216" s="260">
        <v>1.8884069999999999</v>
      </c>
      <c r="CF216" s="260">
        <v>1.8884069999999999</v>
      </c>
      <c r="CG216" s="260">
        <v>1.8884069999999999</v>
      </c>
      <c r="CH216" s="260">
        <v>1.8884069999999999</v>
      </c>
    </row>
    <row r="217" spans="1:86" x14ac:dyDescent="0.25">
      <c r="A217" s="170">
        <v>2</v>
      </c>
      <c r="B217" s="170">
        <v>106</v>
      </c>
      <c r="C217" s="259">
        <v>1.7942119836807251</v>
      </c>
      <c r="D217" s="259">
        <v>1.7942119836807251</v>
      </c>
      <c r="E217" s="259">
        <v>1.7942119836807251</v>
      </c>
      <c r="F217" s="259">
        <v>1.7942119836807251</v>
      </c>
      <c r="G217" s="259">
        <v>1.7942119836807251</v>
      </c>
      <c r="H217" s="259">
        <v>1.7942119836807251</v>
      </c>
      <c r="I217" s="260">
        <v>1.7502929999999999</v>
      </c>
      <c r="J217" s="260">
        <v>1.7502929999999999</v>
      </c>
      <c r="K217" s="260">
        <v>1.7502929999999999</v>
      </c>
      <c r="L217" s="260">
        <v>1.7502929999999999</v>
      </c>
      <c r="M217" s="260">
        <v>1.7502929999999999</v>
      </c>
      <c r="N217" s="260">
        <v>1.7502929999999999</v>
      </c>
      <c r="O217" s="260">
        <v>1.7502929999999999</v>
      </c>
      <c r="P217" s="260">
        <v>1.7502929999999999</v>
      </c>
      <c r="Q217" s="260">
        <v>1.7502929999999999</v>
      </c>
      <c r="R217" s="260">
        <v>1.7502929999999999</v>
      </c>
      <c r="S217" s="260">
        <v>1.7502929999999999</v>
      </c>
      <c r="T217" s="260">
        <v>1.7502929999999999</v>
      </c>
      <c r="U217" s="260">
        <v>1.7502929999999999</v>
      </c>
      <c r="V217" s="260">
        <v>1.7502929999999999</v>
      </c>
      <c r="W217" s="260">
        <v>1.7502929999999999</v>
      </c>
      <c r="X217" s="260">
        <v>1.7502929999999999</v>
      </c>
      <c r="Y217" s="260">
        <v>1.7502929999999999</v>
      </c>
      <c r="Z217" s="260">
        <v>1.7502929999999999</v>
      </c>
      <c r="AA217" s="260">
        <v>1.7502929999999999</v>
      </c>
      <c r="AB217" s="260">
        <v>1.7502929999999999</v>
      </c>
      <c r="AC217" s="260">
        <v>1.7502929999999999</v>
      </c>
      <c r="AD217" s="260">
        <v>1.7502929999999999</v>
      </c>
      <c r="AE217" s="260">
        <v>1.7502929999999999</v>
      </c>
      <c r="AF217" s="260">
        <v>1.7502929999999999</v>
      </c>
      <c r="AG217" s="260">
        <v>1.7502929999999999</v>
      </c>
      <c r="AH217" s="260">
        <v>1.7502929999999999</v>
      </c>
      <c r="AI217" s="260">
        <v>1.7502929999999999</v>
      </c>
      <c r="AJ217" s="260">
        <v>1.7502929999999999</v>
      </c>
      <c r="AK217" s="260">
        <v>1.7502929999999999</v>
      </c>
      <c r="AL217" s="260">
        <v>1.7502929999999999</v>
      </c>
      <c r="AM217" s="260">
        <v>1.7502929999999999</v>
      </c>
      <c r="AN217" s="260">
        <v>1.7502929999999999</v>
      </c>
      <c r="AO217" s="260">
        <v>1.7502929999999999</v>
      </c>
      <c r="AP217" s="260">
        <v>1.7502929999999999</v>
      </c>
      <c r="AQ217" s="260">
        <v>1.7502929999999999</v>
      </c>
      <c r="AR217" s="260">
        <v>1.7502929999999999</v>
      </c>
      <c r="AS217" s="260">
        <v>1.7502929999999999</v>
      </c>
      <c r="AT217" s="260">
        <v>1.7502929999999999</v>
      </c>
      <c r="AU217" s="260">
        <v>1.7502929999999999</v>
      </c>
      <c r="AV217" s="260">
        <v>1.7502929999999999</v>
      </c>
      <c r="AW217" s="260">
        <v>1.7502929999999999</v>
      </c>
      <c r="AX217" s="260">
        <v>1.7502929999999999</v>
      </c>
      <c r="AY217" s="260">
        <v>1.7502929999999999</v>
      </c>
      <c r="AZ217" s="260">
        <v>1.7502929999999999</v>
      </c>
      <c r="BA217" s="260">
        <v>1.7502929999999999</v>
      </c>
      <c r="BB217" s="260">
        <v>1.7502929999999999</v>
      </c>
      <c r="BC217" s="260">
        <v>1.7502929999999999</v>
      </c>
      <c r="BD217" s="260">
        <v>1.7502929999999999</v>
      </c>
      <c r="BE217" s="260">
        <v>1.7502929999999999</v>
      </c>
      <c r="BF217" s="260">
        <v>1.7502929999999999</v>
      </c>
      <c r="BG217" s="260">
        <v>1.7502929999999999</v>
      </c>
      <c r="BH217" s="260">
        <v>1.7502929999999999</v>
      </c>
      <c r="BI217" s="260">
        <v>1.7502929999999999</v>
      </c>
      <c r="BJ217" s="260">
        <v>1.7502929999999999</v>
      </c>
      <c r="BK217" s="260">
        <v>1.7502929999999999</v>
      </c>
      <c r="BL217" s="260">
        <v>1.7502929999999999</v>
      </c>
      <c r="BM217" s="260">
        <v>1.7502929999999999</v>
      </c>
      <c r="BN217" s="260">
        <v>1.7502929999999999</v>
      </c>
      <c r="BO217" s="260">
        <v>1.7502929999999999</v>
      </c>
      <c r="BP217" s="260">
        <v>1.7502929999999999</v>
      </c>
      <c r="BQ217" s="260">
        <v>1.7502929999999999</v>
      </c>
      <c r="BR217" s="260">
        <v>1.7502929999999999</v>
      </c>
      <c r="BS217" s="260">
        <v>1.7502929999999999</v>
      </c>
      <c r="BT217" s="260">
        <v>1.7502929999999999</v>
      </c>
      <c r="BU217" s="260">
        <v>1.7502929999999999</v>
      </c>
      <c r="BV217" s="260">
        <v>1.7502929999999999</v>
      </c>
      <c r="BW217" s="260">
        <v>1.7502929999999999</v>
      </c>
      <c r="BX217" s="260">
        <v>1.7502929999999999</v>
      </c>
      <c r="BY217" s="260">
        <v>1.7502929999999999</v>
      </c>
      <c r="BZ217" s="260">
        <v>1.7502929999999999</v>
      </c>
      <c r="CA217" s="260">
        <v>1.7502929999999999</v>
      </c>
      <c r="CB217" s="260">
        <v>1.7502929999999999</v>
      </c>
      <c r="CC217" s="260">
        <v>1.7502929999999999</v>
      </c>
      <c r="CD217" s="260">
        <v>1.7502929999999999</v>
      </c>
      <c r="CE217" s="260">
        <v>1.7502929999999999</v>
      </c>
      <c r="CF217" s="260">
        <v>1.7502929999999999</v>
      </c>
      <c r="CG217" s="260">
        <v>1.7502929999999999</v>
      </c>
      <c r="CH217" s="260">
        <v>1.7502929999999999</v>
      </c>
    </row>
    <row r="218" spans="1:86" x14ac:dyDescent="0.25">
      <c r="A218" s="170">
        <v>2</v>
      </c>
      <c r="B218" s="170">
        <v>107</v>
      </c>
      <c r="C218" s="259">
        <v>1.61114501953125</v>
      </c>
      <c r="D218" s="259">
        <v>1.61114501953125</v>
      </c>
      <c r="E218" s="259">
        <v>1.61114501953125</v>
      </c>
      <c r="F218" s="259">
        <v>1.61114501953125</v>
      </c>
      <c r="G218" s="259">
        <v>1.61114501953125</v>
      </c>
      <c r="H218" s="259">
        <v>1.61114501953125</v>
      </c>
      <c r="I218" s="260">
        <v>1.5923069999999999</v>
      </c>
      <c r="J218" s="260">
        <v>1.5923069999999999</v>
      </c>
      <c r="K218" s="260">
        <v>1.5923069999999999</v>
      </c>
      <c r="L218" s="260">
        <v>1.5923069999999999</v>
      </c>
      <c r="M218" s="260">
        <v>1.5923069999999999</v>
      </c>
      <c r="N218" s="260">
        <v>1.5923069999999999</v>
      </c>
      <c r="O218" s="260">
        <v>1.5923069999999999</v>
      </c>
      <c r="P218" s="260">
        <v>1.5923069999999999</v>
      </c>
      <c r="Q218" s="260">
        <v>1.5923069999999999</v>
      </c>
      <c r="R218" s="260">
        <v>1.5923069999999999</v>
      </c>
      <c r="S218" s="260">
        <v>1.5923069999999999</v>
      </c>
      <c r="T218" s="260">
        <v>1.5923069999999999</v>
      </c>
      <c r="U218" s="260">
        <v>1.5923069999999999</v>
      </c>
      <c r="V218" s="260">
        <v>1.5923069999999999</v>
      </c>
      <c r="W218" s="260">
        <v>1.5923069999999999</v>
      </c>
      <c r="X218" s="260">
        <v>1.5923069999999999</v>
      </c>
      <c r="Y218" s="260">
        <v>1.5923069999999999</v>
      </c>
      <c r="Z218" s="260">
        <v>1.5923069999999999</v>
      </c>
      <c r="AA218" s="260">
        <v>1.5923069999999999</v>
      </c>
      <c r="AB218" s="260">
        <v>1.5923069999999999</v>
      </c>
      <c r="AC218" s="260">
        <v>1.5923069999999999</v>
      </c>
      <c r="AD218" s="260">
        <v>1.5923069999999999</v>
      </c>
      <c r="AE218" s="260">
        <v>1.5923069999999999</v>
      </c>
      <c r="AF218" s="260">
        <v>1.5923069999999999</v>
      </c>
      <c r="AG218" s="260">
        <v>1.5923069999999999</v>
      </c>
      <c r="AH218" s="260">
        <v>1.5923069999999999</v>
      </c>
      <c r="AI218" s="260">
        <v>1.5923069999999999</v>
      </c>
      <c r="AJ218" s="260">
        <v>1.5923069999999999</v>
      </c>
      <c r="AK218" s="260">
        <v>1.5923069999999999</v>
      </c>
      <c r="AL218" s="260">
        <v>1.5923069999999999</v>
      </c>
      <c r="AM218" s="260">
        <v>1.5923069999999999</v>
      </c>
      <c r="AN218" s="260">
        <v>1.5923069999999999</v>
      </c>
      <c r="AO218" s="260">
        <v>1.5923069999999999</v>
      </c>
      <c r="AP218" s="260">
        <v>1.5923069999999999</v>
      </c>
      <c r="AQ218" s="260">
        <v>1.5923069999999999</v>
      </c>
      <c r="AR218" s="260">
        <v>1.5923069999999999</v>
      </c>
      <c r="AS218" s="260">
        <v>1.5923069999999999</v>
      </c>
      <c r="AT218" s="260">
        <v>1.5923069999999999</v>
      </c>
      <c r="AU218" s="260">
        <v>1.5923069999999999</v>
      </c>
      <c r="AV218" s="260">
        <v>1.5923069999999999</v>
      </c>
      <c r="AW218" s="260">
        <v>1.5923069999999999</v>
      </c>
      <c r="AX218" s="260">
        <v>1.5923069999999999</v>
      </c>
      <c r="AY218" s="260">
        <v>1.5923069999999999</v>
      </c>
      <c r="AZ218" s="260">
        <v>1.5923069999999999</v>
      </c>
      <c r="BA218" s="260">
        <v>1.5923069999999999</v>
      </c>
      <c r="BB218" s="260">
        <v>1.5923069999999999</v>
      </c>
      <c r="BC218" s="260">
        <v>1.5923069999999999</v>
      </c>
      <c r="BD218" s="260">
        <v>1.5923069999999999</v>
      </c>
      <c r="BE218" s="260">
        <v>1.5923069999999999</v>
      </c>
      <c r="BF218" s="260">
        <v>1.5923069999999999</v>
      </c>
      <c r="BG218" s="260">
        <v>1.5923069999999999</v>
      </c>
      <c r="BH218" s="260">
        <v>1.5923069999999999</v>
      </c>
      <c r="BI218" s="260">
        <v>1.5923069999999999</v>
      </c>
      <c r="BJ218" s="260">
        <v>1.5923069999999999</v>
      </c>
      <c r="BK218" s="260">
        <v>1.5923069999999999</v>
      </c>
      <c r="BL218" s="260">
        <v>1.5923069999999999</v>
      </c>
      <c r="BM218" s="260">
        <v>1.5923069999999999</v>
      </c>
      <c r="BN218" s="260">
        <v>1.5923069999999999</v>
      </c>
      <c r="BO218" s="260">
        <v>1.5923069999999999</v>
      </c>
      <c r="BP218" s="260">
        <v>1.5923069999999999</v>
      </c>
      <c r="BQ218" s="260">
        <v>1.5923069999999999</v>
      </c>
      <c r="BR218" s="260">
        <v>1.5923069999999999</v>
      </c>
      <c r="BS218" s="260">
        <v>1.5923069999999999</v>
      </c>
      <c r="BT218" s="260">
        <v>1.5923069999999999</v>
      </c>
      <c r="BU218" s="260">
        <v>1.5923069999999999</v>
      </c>
      <c r="BV218" s="260">
        <v>1.5923069999999999</v>
      </c>
      <c r="BW218" s="260">
        <v>1.5923069999999999</v>
      </c>
      <c r="BX218" s="260">
        <v>1.5923069999999999</v>
      </c>
      <c r="BY218" s="260">
        <v>1.5923069999999999</v>
      </c>
      <c r="BZ218" s="260">
        <v>1.5923069999999999</v>
      </c>
      <c r="CA218" s="260">
        <v>1.5923069999999999</v>
      </c>
      <c r="CB218" s="260">
        <v>1.5923069999999999</v>
      </c>
      <c r="CC218" s="260">
        <v>1.5923069999999999</v>
      </c>
      <c r="CD218" s="260">
        <v>1.5923069999999999</v>
      </c>
      <c r="CE218" s="260">
        <v>1.5923069999999999</v>
      </c>
      <c r="CF218" s="260">
        <v>1.5923069999999999</v>
      </c>
      <c r="CG218" s="260">
        <v>1.5923069999999999</v>
      </c>
      <c r="CH218" s="260">
        <v>1.5923069999999999</v>
      </c>
    </row>
    <row r="219" spans="1:86" x14ac:dyDescent="0.25">
      <c r="A219" s="170">
        <v>2</v>
      </c>
      <c r="B219" s="170">
        <v>108</v>
      </c>
      <c r="C219" s="259">
        <v>1.3866709470748901</v>
      </c>
      <c r="D219" s="259">
        <v>1.3866709470748901</v>
      </c>
      <c r="E219" s="259">
        <v>1.3866709470748901</v>
      </c>
      <c r="F219" s="259">
        <v>1.3866709470748901</v>
      </c>
      <c r="G219" s="259">
        <v>1.3866709470748901</v>
      </c>
      <c r="H219" s="259">
        <v>1.3866709470748901</v>
      </c>
      <c r="I219" s="260">
        <v>1.3859299999999999</v>
      </c>
      <c r="J219" s="260">
        <v>1.3859299999999999</v>
      </c>
      <c r="K219" s="260">
        <v>1.3859299999999999</v>
      </c>
      <c r="L219" s="260">
        <v>1.3859299999999999</v>
      </c>
      <c r="M219" s="260">
        <v>1.3859299999999999</v>
      </c>
      <c r="N219" s="260">
        <v>1.3859299999999999</v>
      </c>
      <c r="O219" s="260">
        <v>1.3859299999999999</v>
      </c>
      <c r="P219" s="260">
        <v>1.3859299999999999</v>
      </c>
      <c r="Q219" s="260">
        <v>1.3859299999999999</v>
      </c>
      <c r="R219" s="260">
        <v>1.3859299999999999</v>
      </c>
      <c r="S219" s="260">
        <v>1.3859299999999999</v>
      </c>
      <c r="T219" s="260">
        <v>1.3859299999999999</v>
      </c>
      <c r="U219" s="260">
        <v>1.3859299999999999</v>
      </c>
      <c r="V219" s="260">
        <v>1.3859299999999999</v>
      </c>
      <c r="W219" s="260">
        <v>1.3859299999999999</v>
      </c>
      <c r="X219" s="260">
        <v>1.3859299999999999</v>
      </c>
      <c r="Y219" s="260">
        <v>1.3859299999999999</v>
      </c>
      <c r="Z219" s="260">
        <v>1.3859299999999999</v>
      </c>
      <c r="AA219" s="260">
        <v>1.3859299999999999</v>
      </c>
      <c r="AB219" s="260">
        <v>1.3859299999999999</v>
      </c>
      <c r="AC219" s="260">
        <v>1.3859299999999999</v>
      </c>
      <c r="AD219" s="260">
        <v>1.3859299999999999</v>
      </c>
      <c r="AE219" s="260">
        <v>1.3859299999999999</v>
      </c>
      <c r="AF219" s="260">
        <v>1.3859299999999999</v>
      </c>
      <c r="AG219" s="260">
        <v>1.3859299999999999</v>
      </c>
      <c r="AH219" s="260">
        <v>1.3859299999999999</v>
      </c>
      <c r="AI219" s="260">
        <v>1.3859299999999999</v>
      </c>
      <c r="AJ219" s="260">
        <v>1.3859299999999999</v>
      </c>
      <c r="AK219" s="260">
        <v>1.3859299999999999</v>
      </c>
      <c r="AL219" s="260">
        <v>1.3859299999999999</v>
      </c>
      <c r="AM219" s="260">
        <v>1.3859299999999999</v>
      </c>
      <c r="AN219" s="260">
        <v>1.3859299999999999</v>
      </c>
      <c r="AO219" s="260">
        <v>1.3859299999999999</v>
      </c>
      <c r="AP219" s="260">
        <v>1.3859299999999999</v>
      </c>
      <c r="AQ219" s="260">
        <v>1.3859299999999999</v>
      </c>
      <c r="AR219" s="260">
        <v>1.3859299999999999</v>
      </c>
      <c r="AS219" s="260">
        <v>1.3859299999999999</v>
      </c>
      <c r="AT219" s="260">
        <v>1.3859299999999999</v>
      </c>
      <c r="AU219" s="260">
        <v>1.3859299999999999</v>
      </c>
      <c r="AV219" s="260">
        <v>1.3859299999999999</v>
      </c>
      <c r="AW219" s="260">
        <v>1.3859299999999999</v>
      </c>
      <c r="AX219" s="260">
        <v>1.3859299999999999</v>
      </c>
      <c r="AY219" s="260">
        <v>1.3859299999999999</v>
      </c>
      <c r="AZ219" s="260">
        <v>1.3859299999999999</v>
      </c>
      <c r="BA219" s="260">
        <v>1.3859299999999999</v>
      </c>
      <c r="BB219" s="260">
        <v>1.3859299999999999</v>
      </c>
      <c r="BC219" s="260">
        <v>1.3859299999999999</v>
      </c>
      <c r="BD219" s="260">
        <v>1.3859299999999999</v>
      </c>
      <c r="BE219" s="260">
        <v>1.3859299999999999</v>
      </c>
      <c r="BF219" s="260">
        <v>1.3859299999999999</v>
      </c>
      <c r="BG219" s="260">
        <v>1.3859299999999999</v>
      </c>
      <c r="BH219" s="260">
        <v>1.3859299999999999</v>
      </c>
      <c r="BI219" s="260">
        <v>1.3859299999999999</v>
      </c>
      <c r="BJ219" s="260">
        <v>1.3859299999999999</v>
      </c>
      <c r="BK219" s="260">
        <v>1.3859299999999999</v>
      </c>
      <c r="BL219" s="260">
        <v>1.3859299999999999</v>
      </c>
      <c r="BM219" s="260">
        <v>1.3859299999999999</v>
      </c>
      <c r="BN219" s="260">
        <v>1.3859299999999999</v>
      </c>
      <c r="BO219" s="260">
        <v>1.3859299999999999</v>
      </c>
      <c r="BP219" s="260">
        <v>1.3859299999999999</v>
      </c>
      <c r="BQ219" s="260">
        <v>1.3859299999999999</v>
      </c>
      <c r="BR219" s="260">
        <v>1.3859299999999999</v>
      </c>
      <c r="BS219" s="260">
        <v>1.3859299999999999</v>
      </c>
      <c r="BT219" s="260">
        <v>1.3859299999999999</v>
      </c>
      <c r="BU219" s="260">
        <v>1.3859299999999999</v>
      </c>
      <c r="BV219" s="260">
        <v>1.3859299999999999</v>
      </c>
      <c r="BW219" s="260">
        <v>1.3859299999999999</v>
      </c>
      <c r="BX219" s="260">
        <v>1.3859299999999999</v>
      </c>
      <c r="BY219" s="260">
        <v>1.3859299999999999</v>
      </c>
      <c r="BZ219" s="260">
        <v>1.3859299999999999</v>
      </c>
      <c r="CA219" s="260">
        <v>1.3859299999999999</v>
      </c>
      <c r="CB219" s="260">
        <v>1.3859299999999999</v>
      </c>
      <c r="CC219" s="260">
        <v>1.3859299999999999</v>
      </c>
      <c r="CD219" s="260">
        <v>1.3859299999999999</v>
      </c>
      <c r="CE219" s="260">
        <v>1.3859299999999999</v>
      </c>
      <c r="CF219" s="260">
        <v>1.3859299999999999</v>
      </c>
      <c r="CG219" s="260">
        <v>1.3859299999999999</v>
      </c>
      <c r="CH219" s="260">
        <v>1.3859299999999999</v>
      </c>
    </row>
    <row r="220" spans="1:86" x14ac:dyDescent="0.25">
      <c r="A220" s="170">
        <v>2</v>
      </c>
      <c r="B220" s="170">
        <v>109</v>
      </c>
      <c r="C220" s="259">
        <v>1.0684429407119751</v>
      </c>
      <c r="D220" s="259">
        <v>1.0684429407119751</v>
      </c>
      <c r="E220" s="259">
        <v>1.0684429407119751</v>
      </c>
      <c r="F220" s="259">
        <v>1.0684429407119751</v>
      </c>
      <c r="G220" s="259">
        <v>1.0684429407119751</v>
      </c>
      <c r="H220" s="259">
        <v>1.0684429407119751</v>
      </c>
      <c r="I220" s="260">
        <v>1.0744989999999999</v>
      </c>
      <c r="J220" s="260">
        <v>1.0744989999999999</v>
      </c>
      <c r="K220" s="260">
        <v>1.0744989999999999</v>
      </c>
      <c r="L220" s="260">
        <v>1.0744989999999999</v>
      </c>
      <c r="M220" s="260">
        <v>1.0744989999999999</v>
      </c>
      <c r="N220" s="260">
        <v>1.0744989999999999</v>
      </c>
      <c r="O220" s="260">
        <v>1.0744989999999999</v>
      </c>
      <c r="P220" s="260">
        <v>1.0744989999999999</v>
      </c>
      <c r="Q220" s="260">
        <v>1.0744989999999999</v>
      </c>
      <c r="R220" s="260">
        <v>1.0744989999999999</v>
      </c>
      <c r="S220" s="260">
        <v>1.0744989999999999</v>
      </c>
      <c r="T220" s="260">
        <v>1.0744989999999999</v>
      </c>
      <c r="U220" s="260">
        <v>1.0744989999999999</v>
      </c>
      <c r="V220" s="260">
        <v>1.0744989999999999</v>
      </c>
      <c r="W220" s="260">
        <v>1.0744989999999999</v>
      </c>
      <c r="X220" s="260">
        <v>1.0744989999999999</v>
      </c>
      <c r="Y220" s="260">
        <v>1.0744989999999999</v>
      </c>
      <c r="Z220" s="260">
        <v>1.0744989999999999</v>
      </c>
      <c r="AA220" s="260">
        <v>1.0744989999999999</v>
      </c>
      <c r="AB220" s="260">
        <v>1.0744989999999999</v>
      </c>
      <c r="AC220" s="260">
        <v>1.0744989999999999</v>
      </c>
      <c r="AD220" s="260">
        <v>1.0744989999999999</v>
      </c>
      <c r="AE220" s="260">
        <v>1.0744989999999999</v>
      </c>
      <c r="AF220" s="260">
        <v>1.0744989999999999</v>
      </c>
      <c r="AG220" s="260">
        <v>1.0744989999999999</v>
      </c>
      <c r="AH220" s="260">
        <v>1.0744989999999999</v>
      </c>
      <c r="AI220" s="260">
        <v>1.0744989999999999</v>
      </c>
      <c r="AJ220" s="260">
        <v>1.0744989999999999</v>
      </c>
      <c r="AK220" s="260">
        <v>1.0744989999999999</v>
      </c>
      <c r="AL220" s="260">
        <v>1.0744989999999999</v>
      </c>
      <c r="AM220" s="260">
        <v>1.0744989999999999</v>
      </c>
      <c r="AN220" s="260">
        <v>1.0744989999999999</v>
      </c>
      <c r="AO220" s="260">
        <v>1.0744989999999999</v>
      </c>
      <c r="AP220" s="260">
        <v>1.0744989999999999</v>
      </c>
      <c r="AQ220" s="260">
        <v>1.0744989999999999</v>
      </c>
      <c r="AR220" s="260">
        <v>1.0744989999999999</v>
      </c>
      <c r="AS220" s="260">
        <v>1.0744989999999999</v>
      </c>
      <c r="AT220" s="260">
        <v>1.0744989999999999</v>
      </c>
      <c r="AU220" s="260">
        <v>1.0744989999999999</v>
      </c>
      <c r="AV220" s="260">
        <v>1.0744989999999999</v>
      </c>
      <c r="AW220" s="260">
        <v>1.0744989999999999</v>
      </c>
      <c r="AX220" s="260">
        <v>1.0744989999999999</v>
      </c>
      <c r="AY220" s="260">
        <v>1.0744989999999999</v>
      </c>
      <c r="AZ220" s="260">
        <v>1.0744989999999999</v>
      </c>
      <c r="BA220" s="260">
        <v>1.0744989999999999</v>
      </c>
      <c r="BB220" s="260">
        <v>1.0744989999999999</v>
      </c>
      <c r="BC220" s="260">
        <v>1.0744989999999999</v>
      </c>
      <c r="BD220" s="260">
        <v>1.0744989999999999</v>
      </c>
      <c r="BE220" s="260">
        <v>1.0744989999999999</v>
      </c>
      <c r="BF220" s="260">
        <v>1.0744989999999999</v>
      </c>
      <c r="BG220" s="260">
        <v>1.0744989999999999</v>
      </c>
      <c r="BH220" s="260">
        <v>1.0744989999999999</v>
      </c>
      <c r="BI220" s="260">
        <v>1.0744989999999999</v>
      </c>
      <c r="BJ220" s="260">
        <v>1.0744989999999999</v>
      </c>
      <c r="BK220" s="260">
        <v>1.0744989999999999</v>
      </c>
      <c r="BL220" s="260">
        <v>1.0744989999999999</v>
      </c>
      <c r="BM220" s="260">
        <v>1.0744989999999999</v>
      </c>
      <c r="BN220" s="260">
        <v>1.0744989999999999</v>
      </c>
      <c r="BO220" s="260">
        <v>1.0744989999999999</v>
      </c>
      <c r="BP220" s="260">
        <v>1.0744989999999999</v>
      </c>
      <c r="BQ220" s="260">
        <v>1.0744989999999999</v>
      </c>
      <c r="BR220" s="260">
        <v>1.0744989999999999</v>
      </c>
      <c r="BS220" s="260">
        <v>1.0744989999999999</v>
      </c>
      <c r="BT220" s="260">
        <v>1.0744989999999999</v>
      </c>
      <c r="BU220" s="260">
        <v>1.0744989999999999</v>
      </c>
      <c r="BV220" s="260">
        <v>1.0744989999999999</v>
      </c>
      <c r="BW220" s="260">
        <v>1.0744989999999999</v>
      </c>
      <c r="BX220" s="260">
        <v>1.0744989999999999</v>
      </c>
      <c r="BY220" s="260">
        <v>1.0744989999999999</v>
      </c>
      <c r="BZ220" s="260">
        <v>1.0744989999999999</v>
      </c>
      <c r="CA220" s="260">
        <v>1.0744989999999999</v>
      </c>
      <c r="CB220" s="260">
        <v>1.0744989999999999</v>
      </c>
      <c r="CC220" s="260">
        <v>1.0744989999999999</v>
      </c>
      <c r="CD220" s="260">
        <v>1.0744989999999999</v>
      </c>
      <c r="CE220" s="260">
        <v>1.0744989999999999</v>
      </c>
      <c r="CF220" s="260">
        <v>1.0744989999999999</v>
      </c>
      <c r="CG220" s="260">
        <v>1.0744989999999999</v>
      </c>
      <c r="CH220" s="260">
        <v>1.0744989999999999</v>
      </c>
    </row>
    <row r="221" spans="1:86" x14ac:dyDescent="0.25">
      <c r="A221" s="170">
        <v>2</v>
      </c>
      <c r="B221" s="170">
        <v>110</v>
      </c>
      <c r="C221" s="259">
        <v>0.54166698455810547</v>
      </c>
      <c r="D221" s="259">
        <v>0.54166698455810547</v>
      </c>
      <c r="E221" s="259">
        <v>0.54166698455810547</v>
      </c>
      <c r="F221" s="259">
        <v>0.54166698455810547</v>
      </c>
      <c r="G221" s="259">
        <v>0.54166698455810547</v>
      </c>
      <c r="H221" s="259">
        <v>0.54166698455810547</v>
      </c>
      <c r="I221" s="260">
        <v>0.54166700000000001</v>
      </c>
      <c r="J221" s="260">
        <v>0.54166700000000001</v>
      </c>
      <c r="K221" s="260">
        <v>0.54166700000000001</v>
      </c>
      <c r="L221" s="260">
        <v>0.54166700000000001</v>
      </c>
      <c r="M221" s="260">
        <v>0.54166700000000001</v>
      </c>
      <c r="N221" s="260">
        <v>0.54166700000000001</v>
      </c>
      <c r="O221" s="260">
        <v>0.54166700000000001</v>
      </c>
      <c r="P221" s="260">
        <v>0.54166700000000001</v>
      </c>
      <c r="Q221" s="260">
        <v>0.54166700000000001</v>
      </c>
      <c r="R221" s="260">
        <v>0.54166700000000001</v>
      </c>
      <c r="S221" s="260">
        <v>0.54166700000000001</v>
      </c>
      <c r="T221" s="260">
        <v>0.54166700000000001</v>
      </c>
      <c r="U221" s="260">
        <v>0.54166700000000001</v>
      </c>
      <c r="V221" s="260">
        <v>0.54166700000000001</v>
      </c>
      <c r="W221" s="260">
        <v>0.54166700000000001</v>
      </c>
      <c r="X221" s="260">
        <v>0.54166700000000001</v>
      </c>
      <c r="Y221" s="260">
        <v>0.54166700000000001</v>
      </c>
      <c r="Z221" s="260">
        <v>0.54166700000000001</v>
      </c>
      <c r="AA221" s="260">
        <v>0.54166700000000001</v>
      </c>
      <c r="AB221" s="260">
        <v>0.54166700000000001</v>
      </c>
      <c r="AC221" s="260">
        <v>0.54166700000000001</v>
      </c>
      <c r="AD221" s="260">
        <v>0.54166700000000001</v>
      </c>
      <c r="AE221" s="260">
        <v>0.54166700000000001</v>
      </c>
      <c r="AF221" s="260">
        <v>0.54166700000000001</v>
      </c>
      <c r="AG221" s="260">
        <v>0.54166700000000001</v>
      </c>
      <c r="AH221" s="260">
        <v>0.54166700000000001</v>
      </c>
      <c r="AI221" s="260">
        <v>0.54166700000000001</v>
      </c>
      <c r="AJ221" s="260">
        <v>0.54166700000000001</v>
      </c>
      <c r="AK221" s="260">
        <v>0.54166700000000001</v>
      </c>
      <c r="AL221" s="260">
        <v>0.54166700000000001</v>
      </c>
      <c r="AM221" s="260">
        <v>0.54166700000000001</v>
      </c>
      <c r="AN221" s="260">
        <v>0.54166700000000001</v>
      </c>
      <c r="AO221" s="260">
        <v>0.54166700000000001</v>
      </c>
      <c r="AP221" s="260">
        <v>0.54166700000000001</v>
      </c>
      <c r="AQ221" s="260">
        <v>0.54166700000000001</v>
      </c>
      <c r="AR221" s="260">
        <v>0.54166700000000001</v>
      </c>
      <c r="AS221" s="260">
        <v>0.54166700000000001</v>
      </c>
      <c r="AT221" s="260">
        <v>0.54166700000000001</v>
      </c>
      <c r="AU221" s="260">
        <v>0.54166700000000001</v>
      </c>
      <c r="AV221" s="260">
        <v>0.54166700000000001</v>
      </c>
      <c r="AW221" s="260">
        <v>0.54166700000000001</v>
      </c>
      <c r="AX221" s="260">
        <v>0.54166700000000001</v>
      </c>
      <c r="AY221" s="260">
        <v>0.54166700000000001</v>
      </c>
      <c r="AZ221" s="260">
        <v>0.54166700000000001</v>
      </c>
      <c r="BA221" s="260">
        <v>0.54166700000000001</v>
      </c>
      <c r="BB221" s="260">
        <v>0.54166700000000001</v>
      </c>
      <c r="BC221" s="260">
        <v>0.54166700000000001</v>
      </c>
      <c r="BD221" s="260">
        <v>0.54166700000000001</v>
      </c>
      <c r="BE221" s="260">
        <v>0.54166700000000001</v>
      </c>
      <c r="BF221" s="260">
        <v>0.54166700000000001</v>
      </c>
      <c r="BG221" s="260">
        <v>0.54166700000000001</v>
      </c>
      <c r="BH221" s="260">
        <v>0.54166700000000001</v>
      </c>
      <c r="BI221" s="260">
        <v>0.54166700000000001</v>
      </c>
      <c r="BJ221" s="260">
        <v>0.54166700000000001</v>
      </c>
      <c r="BK221" s="260">
        <v>0.54166700000000001</v>
      </c>
      <c r="BL221" s="260">
        <v>0.54166700000000001</v>
      </c>
      <c r="BM221" s="260">
        <v>0.54166700000000001</v>
      </c>
      <c r="BN221" s="260">
        <v>0.54166700000000001</v>
      </c>
      <c r="BO221" s="260">
        <v>0.54166700000000001</v>
      </c>
      <c r="BP221" s="260">
        <v>0.54166700000000001</v>
      </c>
      <c r="BQ221" s="260">
        <v>0.54166700000000001</v>
      </c>
      <c r="BR221" s="260">
        <v>0.54166700000000001</v>
      </c>
      <c r="BS221" s="260">
        <v>0.54166700000000001</v>
      </c>
      <c r="BT221" s="260">
        <v>0.54166700000000001</v>
      </c>
      <c r="BU221" s="260">
        <v>0.54166700000000001</v>
      </c>
      <c r="BV221" s="260">
        <v>0.54166700000000001</v>
      </c>
      <c r="BW221" s="260">
        <v>0.54166700000000001</v>
      </c>
      <c r="BX221" s="260">
        <v>0.54166700000000001</v>
      </c>
      <c r="BY221" s="260">
        <v>0.54166700000000001</v>
      </c>
      <c r="BZ221" s="260">
        <v>0.54166700000000001</v>
      </c>
      <c r="CA221" s="260">
        <v>0.54166700000000001</v>
      </c>
      <c r="CB221" s="260">
        <v>0.54166700000000001</v>
      </c>
      <c r="CC221" s="260">
        <v>0.54166700000000001</v>
      </c>
      <c r="CD221" s="260">
        <v>0.54166700000000001</v>
      </c>
      <c r="CE221" s="260">
        <v>0.54166700000000001</v>
      </c>
      <c r="CF221" s="260">
        <v>0.54166700000000001</v>
      </c>
      <c r="CG221" s="260">
        <v>0.54166700000000001</v>
      </c>
      <c r="CH221" s="260">
        <v>0.54166700000000001</v>
      </c>
    </row>
    <row r="223" spans="1:86" x14ac:dyDescent="0.25">
      <c r="C223" s="258" t="s">
        <v>234</v>
      </c>
    </row>
    <row r="224" spans="1:86" x14ac:dyDescent="0.25">
      <c r="C224" s="46" t="s">
        <v>267</v>
      </c>
    </row>
  </sheetData>
  <autoFilter ref="A1:CH221" xr:uid="{5F5F0AA8-337F-4081-8F12-657E195BF802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54FBE-06CD-4BC6-8EE7-F9AD4E5F1EB9}">
  <sheetPr codeName="Hoja2"/>
  <dimension ref="A1:CH224"/>
  <sheetViews>
    <sheetView workbookViewId="0">
      <pane xSplit="2" ySplit="1" topLeftCell="C2" activePane="bottomRight" state="frozen"/>
      <selection activeCell="P37" sqref="P37"/>
      <selection pane="topRight" activeCell="P37" sqref="P37"/>
      <selection pane="bottomLeft" activeCell="P37" sqref="P37"/>
      <selection pane="bottomRight" activeCell="P37" sqref="P37"/>
    </sheetView>
  </sheetViews>
  <sheetFormatPr baseColWidth="10" defaultColWidth="9.28515625" defaultRowHeight="15" x14ac:dyDescent="0.25"/>
  <cols>
    <col min="1" max="16384" width="9.28515625" style="46"/>
  </cols>
  <sheetData>
    <row r="1" spans="1:86" x14ac:dyDescent="0.25">
      <c r="A1" t="s">
        <v>21</v>
      </c>
      <c r="B1" t="s">
        <v>22</v>
      </c>
      <c r="C1" s="257" t="s">
        <v>213</v>
      </c>
      <c r="D1" s="257" t="s">
        <v>214</v>
      </c>
      <c r="E1" s="257" t="s">
        <v>215</v>
      </c>
      <c r="F1" s="257" t="s">
        <v>216</v>
      </c>
      <c r="G1" s="257" t="s">
        <v>23</v>
      </c>
      <c r="H1" s="257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X1" t="s">
        <v>40</v>
      </c>
      <c r="Y1" t="s">
        <v>41</v>
      </c>
      <c r="Z1" t="s">
        <v>42</v>
      </c>
      <c r="AA1" t="s">
        <v>43</v>
      </c>
      <c r="AB1" t="s">
        <v>44</v>
      </c>
      <c r="AC1" t="s">
        <v>45</v>
      </c>
      <c r="AD1" t="s">
        <v>46</v>
      </c>
      <c r="AE1" t="s">
        <v>47</v>
      </c>
      <c r="AF1" t="s">
        <v>48</v>
      </c>
      <c r="AG1" t="s">
        <v>49</v>
      </c>
      <c r="AH1" t="s">
        <v>50</v>
      </c>
      <c r="AI1" t="s">
        <v>51</v>
      </c>
      <c r="AJ1" t="s">
        <v>52</v>
      </c>
      <c r="AK1" t="s">
        <v>53</v>
      </c>
      <c r="AL1" t="s">
        <v>54</v>
      </c>
      <c r="AM1" t="s">
        <v>55</v>
      </c>
      <c r="AN1" t="s">
        <v>56</v>
      </c>
      <c r="AO1" t="s">
        <v>57</v>
      </c>
      <c r="AP1" t="s">
        <v>58</v>
      </c>
      <c r="AQ1" t="s">
        <v>59</v>
      </c>
      <c r="AR1" t="s">
        <v>60</v>
      </c>
      <c r="AS1" t="s">
        <v>61</v>
      </c>
      <c r="AT1" t="s">
        <v>62</v>
      </c>
      <c r="AU1" t="s">
        <v>63</v>
      </c>
      <c r="AV1" t="s">
        <v>64</v>
      </c>
      <c r="AW1" t="s">
        <v>65</v>
      </c>
      <c r="AX1" t="s">
        <v>66</v>
      </c>
      <c r="AY1" t="s">
        <v>67</v>
      </c>
      <c r="AZ1" t="s">
        <v>68</v>
      </c>
      <c r="BA1" t="s">
        <v>69</v>
      </c>
      <c r="BB1" t="s">
        <v>70</v>
      </c>
      <c r="BC1" t="s">
        <v>71</v>
      </c>
      <c r="BD1" t="s">
        <v>72</v>
      </c>
      <c r="BE1" t="s">
        <v>73</v>
      </c>
      <c r="BF1" t="s">
        <v>74</v>
      </c>
      <c r="BG1" t="s">
        <v>75</v>
      </c>
      <c r="BH1" t="s">
        <v>76</v>
      </c>
      <c r="BI1" t="s">
        <v>77</v>
      </c>
      <c r="BJ1" t="s">
        <v>78</v>
      </c>
      <c r="BK1" t="s">
        <v>79</v>
      </c>
      <c r="BL1" t="s">
        <v>80</v>
      </c>
      <c r="BM1" t="s">
        <v>81</v>
      </c>
      <c r="BN1" t="s">
        <v>82</v>
      </c>
      <c r="BO1" t="s">
        <v>83</v>
      </c>
      <c r="BP1" t="s">
        <v>84</v>
      </c>
      <c r="BQ1" t="s">
        <v>85</v>
      </c>
      <c r="BR1" t="s">
        <v>86</v>
      </c>
      <c r="BS1" t="s">
        <v>87</v>
      </c>
      <c r="BT1" t="s">
        <v>88</v>
      </c>
      <c r="BU1" t="s">
        <v>89</v>
      </c>
      <c r="BV1" t="s">
        <v>90</v>
      </c>
      <c r="BW1" t="s">
        <v>91</v>
      </c>
      <c r="BX1" t="s">
        <v>92</v>
      </c>
      <c r="BY1" t="s">
        <v>93</v>
      </c>
      <c r="BZ1" t="s">
        <v>94</v>
      </c>
      <c r="CA1" t="s">
        <v>95</v>
      </c>
      <c r="CB1" t="s">
        <v>96</v>
      </c>
      <c r="CC1" t="s">
        <v>97</v>
      </c>
      <c r="CD1" t="s">
        <v>98</v>
      </c>
      <c r="CE1" t="s">
        <v>99</v>
      </c>
      <c r="CF1" t="s">
        <v>100</v>
      </c>
      <c r="CG1" t="s">
        <v>101</v>
      </c>
      <c r="CH1" t="s">
        <v>102</v>
      </c>
    </row>
    <row r="2" spans="1:86" x14ac:dyDescent="0.25">
      <c r="A2" s="170">
        <v>1</v>
      </c>
      <c r="B2" s="170">
        <v>1</v>
      </c>
      <c r="C2" s="259">
        <v>0</v>
      </c>
      <c r="D2" s="259">
        <v>0</v>
      </c>
      <c r="E2" s="259">
        <v>0</v>
      </c>
      <c r="F2" s="259">
        <v>0</v>
      </c>
      <c r="G2" s="259">
        <v>0</v>
      </c>
      <c r="H2" s="259">
        <v>0</v>
      </c>
      <c r="I2" s="260">
        <v>0</v>
      </c>
      <c r="J2" s="260">
        <v>0</v>
      </c>
      <c r="K2" s="260">
        <v>0</v>
      </c>
      <c r="L2" s="260">
        <v>0</v>
      </c>
      <c r="M2" s="260">
        <v>0</v>
      </c>
      <c r="N2" s="260">
        <v>0</v>
      </c>
      <c r="O2" s="260">
        <v>0</v>
      </c>
      <c r="P2" s="260">
        <v>0</v>
      </c>
      <c r="Q2" s="260">
        <v>0</v>
      </c>
      <c r="R2" s="260">
        <v>0</v>
      </c>
      <c r="S2" s="260">
        <v>0</v>
      </c>
      <c r="T2" s="260">
        <v>0</v>
      </c>
      <c r="U2" s="260">
        <v>0</v>
      </c>
      <c r="V2" s="260">
        <v>0</v>
      </c>
      <c r="W2" s="260">
        <v>0</v>
      </c>
      <c r="X2" s="260">
        <v>0</v>
      </c>
      <c r="Y2" s="260">
        <v>0</v>
      </c>
      <c r="Z2" s="260">
        <v>0</v>
      </c>
      <c r="AA2" s="260">
        <v>0</v>
      </c>
      <c r="AB2" s="260">
        <v>0</v>
      </c>
      <c r="AC2" s="260">
        <v>0</v>
      </c>
      <c r="AD2" s="260">
        <v>0</v>
      </c>
      <c r="AE2" s="260">
        <v>0</v>
      </c>
      <c r="AF2" s="260">
        <v>0</v>
      </c>
      <c r="AG2" s="260">
        <v>0</v>
      </c>
      <c r="AH2" s="260">
        <v>0</v>
      </c>
      <c r="AI2" s="260">
        <v>0</v>
      </c>
      <c r="AJ2" s="260">
        <v>0</v>
      </c>
      <c r="AK2" s="260">
        <v>0</v>
      </c>
      <c r="AL2" s="260">
        <v>0</v>
      </c>
      <c r="AM2" s="260">
        <v>0</v>
      </c>
      <c r="AN2" s="260">
        <v>0</v>
      </c>
      <c r="AO2" s="260">
        <v>0</v>
      </c>
      <c r="AP2" s="260">
        <v>0</v>
      </c>
      <c r="AQ2" s="260">
        <v>0</v>
      </c>
      <c r="AR2" s="260">
        <v>0</v>
      </c>
      <c r="AS2" s="260">
        <v>0</v>
      </c>
      <c r="AT2" s="260">
        <v>0</v>
      </c>
      <c r="AU2" s="260">
        <v>0</v>
      </c>
      <c r="AV2" s="260">
        <v>0</v>
      </c>
      <c r="AW2" s="260">
        <v>0</v>
      </c>
      <c r="AX2" s="260">
        <v>0</v>
      </c>
      <c r="AY2" s="260">
        <v>0</v>
      </c>
      <c r="AZ2" s="260">
        <v>0</v>
      </c>
      <c r="BA2" s="260">
        <v>0</v>
      </c>
      <c r="BB2" s="260">
        <v>0</v>
      </c>
      <c r="BC2" s="260">
        <v>0</v>
      </c>
      <c r="BD2" s="260">
        <v>0</v>
      </c>
      <c r="BE2" s="260">
        <v>0</v>
      </c>
      <c r="BF2" s="260">
        <v>0</v>
      </c>
      <c r="BG2" s="260">
        <v>0</v>
      </c>
      <c r="BH2" s="260">
        <v>0</v>
      </c>
      <c r="BI2" s="260">
        <v>0</v>
      </c>
      <c r="BJ2" s="260">
        <v>0</v>
      </c>
      <c r="BK2" s="260">
        <v>0</v>
      </c>
      <c r="BL2" s="260">
        <v>0</v>
      </c>
      <c r="BM2" s="260">
        <v>0</v>
      </c>
      <c r="BN2" s="260">
        <v>0</v>
      </c>
      <c r="BO2" s="260">
        <v>0</v>
      </c>
      <c r="BP2" s="260">
        <v>0</v>
      </c>
      <c r="BQ2" s="260">
        <v>0</v>
      </c>
      <c r="BR2" s="260">
        <v>0</v>
      </c>
      <c r="BS2" s="260">
        <v>0</v>
      </c>
      <c r="BT2" s="260">
        <v>0</v>
      </c>
      <c r="BU2" s="260">
        <v>0</v>
      </c>
      <c r="BV2" s="260">
        <v>0</v>
      </c>
      <c r="BW2" s="260">
        <v>0</v>
      </c>
      <c r="BX2" s="260">
        <v>0</v>
      </c>
      <c r="BY2" s="260">
        <v>0</v>
      </c>
      <c r="BZ2" s="260">
        <v>0</v>
      </c>
      <c r="CA2" s="260">
        <v>0</v>
      </c>
      <c r="CB2" s="260">
        <v>0</v>
      </c>
      <c r="CC2" s="260">
        <v>0</v>
      </c>
      <c r="CD2" s="260">
        <v>0</v>
      </c>
      <c r="CE2" s="260">
        <v>0</v>
      </c>
      <c r="CF2" s="260">
        <v>0</v>
      </c>
      <c r="CG2" s="260">
        <v>0</v>
      </c>
      <c r="CH2" s="260">
        <v>0</v>
      </c>
    </row>
    <row r="3" spans="1:86" x14ac:dyDescent="0.25">
      <c r="A3" s="170">
        <v>1</v>
      </c>
      <c r="B3" s="170">
        <v>2</v>
      </c>
      <c r="C3" s="259">
        <v>0</v>
      </c>
      <c r="D3" s="259">
        <v>0</v>
      </c>
      <c r="E3" s="259">
        <v>0</v>
      </c>
      <c r="F3" s="259">
        <v>0</v>
      </c>
      <c r="G3" s="259">
        <v>0</v>
      </c>
      <c r="H3" s="259">
        <v>0</v>
      </c>
      <c r="I3" s="260">
        <v>0</v>
      </c>
      <c r="J3" s="260">
        <v>0</v>
      </c>
      <c r="K3" s="260">
        <v>0</v>
      </c>
      <c r="L3" s="260">
        <v>0</v>
      </c>
      <c r="M3" s="260">
        <v>0</v>
      </c>
      <c r="N3" s="260">
        <v>0</v>
      </c>
      <c r="O3" s="260">
        <v>0</v>
      </c>
      <c r="P3" s="260">
        <v>0</v>
      </c>
      <c r="Q3" s="260">
        <v>0</v>
      </c>
      <c r="R3" s="260">
        <v>0</v>
      </c>
      <c r="S3" s="260">
        <v>0</v>
      </c>
      <c r="T3" s="260">
        <v>0</v>
      </c>
      <c r="U3" s="260">
        <v>0</v>
      </c>
      <c r="V3" s="260">
        <v>0</v>
      </c>
      <c r="W3" s="260">
        <v>0</v>
      </c>
      <c r="X3" s="260">
        <v>0</v>
      </c>
      <c r="Y3" s="260">
        <v>0</v>
      </c>
      <c r="Z3" s="260">
        <v>0</v>
      </c>
      <c r="AA3" s="260">
        <v>0</v>
      </c>
      <c r="AB3" s="260">
        <v>0</v>
      </c>
      <c r="AC3" s="260">
        <v>0</v>
      </c>
      <c r="AD3" s="260">
        <v>0</v>
      </c>
      <c r="AE3" s="260">
        <v>0</v>
      </c>
      <c r="AF3" s="260">
        <v>0</v>
      </c>
      <c r="AG3" s="260">
        <v>0</v>
      </c>
      <c r="AH3" s="260">
        <v>0</v>
      </c>
      <c r="AI3" s="260">
        <v>0</v>
      </c>
      <c r="AJ3" s="260">
        <v>0</v>
      </c>
      <c r="AK3" s="260">
        <v>0</v>
      </c>
      <c r="AL3" s="260">
        <v>0</v>
      </c>
      <c r="AM3" s="260">
        <v>0</v>
      </c>
      <c r="AN3" s="260">
        <v>0</v>
      </c>
      <c r="AO3" s="260">
        <v>0</v>
      </c>
      <c r="AP3" s="260">
        <v>0</v>
      </c>
      <c r="AQ3" s="260">
        <v>0</v>
      </c>
      <c r="AR3" s="260">
        <v>0</v>
      </c>
      <c r="AS3" s="260">
        <v>0</v>
      </c>
      <c r="AT3" s="260">
        <v>0</v>
      </c>
      <c r="AU3" s="260">
        <v>0</v>
      </c>
      <c r="AV3" s="260">
        <v>0</v>
      </c>
      <c r="AW3" s="260">
        <v>0</v>
      </c>
      <c r="AX3" s="260">
        <v>0</v>
      </c>
      <c r="AY3" s="260">
        <v>0</v>
      </c>
      <c r="AZ3" s="260">
        <v>0</v>
      </c>
      <c r="BA3" s="260">
        <v>0</v>
      </c>
      <c r="BB3" s="260">
        <v>0</v>
      </c>
      <c r="BC3" s="260">
        <v>0</v>
      </c>
      <c r="BD3" s="260">
        <v>0</v>
      </c>
      <c r="BE3" s="260">
        <v>0</v>
      </c>
      <c r="BF3" s="260">
        <v>0</v>
      </c>
      <c r="BG3" s="260">
        <v>0</v>
      </c>
      <c r="BH3" s="260">
        <v>0</v>
      </c>
      <c r="BI3" s="260">
        <v>0</v>
      </c>
      <c r="BJ3" s="260">
        <v>0</v>
      </c>
      <c r="BK3" s="260">
        <v>0</v>
      </c>
      <c r="BL3" s="260">
        <v>0</v>
      </c>
      <c r="BM3" s="260">
        <v>0</v>
      </c>
      <c r="BN3" s="260">
        <v>0</v>
      </c>
      <c r="BO3" s="260">
        <v>0</v>
      </c>
      <c r="BP3" s="260">
        <v>0</v>
      </c>
      <c r="BQ3" s="260">
        <v>0</v>
      </c>
      <c r="BR3" s="260">
        <v>0</v>
      </c>
      <c r="BS3" s="260">
        <v>0</v>
      </c>
      <c r="BT3" s="260">
        <v>0</v>
      </c>
      <c r="BU3" s="260">
        <v>0</v>
      </c>
      <c r="BV3" s="260">
        <v>0</v>
      </c>
      <c r="BW3" s="260">
        <v>0</v>
      </c>
      <c r="BX3" s="260">
        <v>0</v>
      </c>
      <c r="BY3" s="260">
        <v>0</v>
      </c>
      <c r="BZ3" s="260">
        <v>0</v>
      </c>
      <c r="CA3" s="260">
        <v>0</v>
      </c>
      <c r="CB3" s="260">
        <v>0</v>
      </c>
      <c r="CC3" s="260">
        <v>0</v>
      </c>
      <c r="CD3" s="260">
        <v>0</v>
      </c>
      <c r="CE3" s="260">
        <v>0</v>
      </c>
      <c r="CF3" s="260">
        <v>0</v>
      </c>
      <c r="CG3" s="260">
        <v>0</v>
      </c>
      <c r="CH3" s="260">
        <v>0</v>
      </c>
    </row>
    <row r="4" spans="1:86" x14ac:dyDescent="0.25">
      <c r="A4" s="170">
        <v>1</v>
      </c>
      <c r="B4" s="170">
        <v>3</v>
      </c>
      <c r="C4" s="259">
        <v>0</v>
      </c>
      <c r="D4" s="259">
        <v>0</v>
      </c>
      <c r="E4" s="259">
        <v>0</v>
      </c>
      <c r="F4" s="259">
        <v>0</v>
      </c>
      <c r="G4" s="259">
        <v>0</v>
      </c>
      <c r="H4" s="259">
        <v>0</v>
      </c>
      <c r="I4" s="260">
        <v>0</v>
      </c>
      <c r="J4" s="260">
        <v>0</v>
      </c>
      <c r="K4" s="260">
        <v>0</v>
      </c>
      <c r="L4" s="260">
        <v>0</v>
      </c>
      <c r="M4" s="260">
        <v>0</v>
      </c>
      <c r="N4" s="260">
        <v>0</v>
      </c>
      <c r="O4" s="260">
        <v>0</v>
      </c>
      <c r="P4" s="260">
        <v>0</v>
      </c>
      <c r="Q4" s="260">
        <v>0</v>
      </c>
      <c r="R4" s="260">
        <v>0</v>
      </c>
      <c r="S4" s="260">
        <v>0</v>
      </c>
      <c r="T4" s="260">
        <v>0</v>
      </c>
      <c r="U4" s="260">
        <v>0</v>
      </c>
      <c r="V4" s="260">
        <v>0</v>
      </c>
      <c r="W4" s="260">
        <v>0</v>
      </c>
      <c r="X4" s="260">
        <v>0</v>
      </c>
      <c r="Y4" s="260">
        <v>0</v>
      </c>
      <c r="Z4" s="260">
        <v>0</v>
      </c>
      <c r="AA4" s="260">
        <v>0</v>
      </c>
      <c r="AB4" s="260">
        <v>0</v>
      </c>
      <c r="AC4" s="260">
        <v>0</v>
      </c>
      <c r="AD4" s="260">
        <v>0</v>
      </c>
      <c r="AE4" s="260">
        <v>0</v>
      </c>
      <c r="AF4" s="260">
        <v>0</v>
      </c>
      <c r="AG4" s="260">
        <v>0</v>
      </c>
      <c r="AH4" s="260">
        <v>0</v>
      </c>
      <c r="AI4" s="260">
        <v>0</v>
      </c>
      <c r="AJ4" s="260">
        <v>0</v>
      </c>
      <c r="AK4" s="260">
        <v>0</v>
      </c>
      <c r="AL4" s="260">
        <v>0</v>
      </c>
      <c r="AM4" s="260">
        <v>0</v>
      </c>
      <c r="AN4" s="260">
        <v>0</v>
      </c>
      <c r="AO4" s="260">
        <v>0</v>
      </c>
      <c r="AP4" s="260">
        <v>0</v>
      </c>
      <c r="AQ4" s="260">
        <v>0</v>
      </c>
      <c r="AR4" s="260">
        <v>0</v>
      </c>
      <c r="AS4" s="260">
        <v>0</v>
      </c>
      <c r="AT4" s="260">
        <v>0</v>
      </c>
      <c r="AU4" s="260">
        <v>0</v>
      </c>
      <c r="AV4" s="260">
        <v>0</v>
      </c>
      <c r="AW4" s="260">
        <v>0</v>
      </c>
      <c r="AX4" s="260">
        <v>0</v>
      </c>
      <c r="AY4" s="260">
        <v>0</v>
      </c>
      <c r="AZ4" s="260">
        <v>0</v>
      </c>
      <c r="BA4" s="260">
        <v>0</v>
      </c>
      <c r="BB4" s="260">
        <v>0</v>
      </c>
      <c r="BC4" s="260">
        <v>0</v>
      </c>
      <c r="BD4" s="260">
        <v>0</v>
      </c>
      <c r="BE4" s="260">
        <v>0</v>
      </c>
      <c r="BF4" s="260">
        <v>0</v>
      </c>
      <c r="BG4" s="260">
        <v>0</v>
      </c>
      <c r="BH4" s="260">
        <v>0</v>
      </c>
      <c r="BI4" s="260">
        <v>0</v>
      </c>
      <c r="BJ4" s="260">
        <v>0</v>
      </c>
      <c r="BK4" s="260">
        <v>0</v>
      </c>
      <c r="BL4" s="260">
        <v>0</v>
      </c>
      <c r="BM4" s="260">
        <v>0</v>
      </c>
      <c r="BN4" s="260">
        <v>0</v>
      </c>
      <c r="BO4" s="260">
        <v>0</v>
      </c>
      <c r="BP4" s="260">
        <v>0</v>
      </c>
      <c r="BQ4" s="260">
        <v>0</v>
      </c>
      <c r="BR4" s="260">
        <v>0</v>
      </c>
      <c r="BS4" s="260">
        <v>0</v>
      </c>
      <c r="BT4" s="260">
        <v>0</v>
      </c>
      <c r="BU4" s="260">
        <v>0</v>
      </c>
      <c r="BV4" s="260">
        <v>0</v>
      </c>
      <c r="BW4" s="260">
        <v>0</v>
      </c>
      <c r="BX4" s="260">
        <v>0</v>
      </c>
      <c r="BY4" s="260">
        <v>0</v>
      </c>
      <c r="BZ4" s="260">
        <v>0</v>
      </c>
      <c r="CA4" s="260">
        <v>0</v>
      </c>
      <c r="CB4" s="260">
        <v>0</v>
      </c>
      <c r="CC4" s="260">
        <v>0</v>
      </c>
      <c r="CD4" s="260">
        <v>0</v>
      </c>
      <c r="CE4" s="260">
        <v>0</v>
      </c>
      <c r="CF4" s="260">
        <v>0</v>
      </c>
      <c r="CG4" s="260">
        <v>0</v>
      </c>
      <c r="CH4" s="260">
        <v>0</v>
      </c>
    </row>
    <row r="5" spans="1:86" x14ac:dyDescent="0.25">
      <c r="A5" s="170">
        <v>1</v>
      </c>
      <c r="B5" s="170">
        <v>4</v>
      </c>
      <c r="C5" s="259">
        <v>0</v>
      </c>
      <c r="D5" s="259">
        <v>0</v>
      </c>
      <c r="E5" s="259">
        <v>0</v>
      </c>
      <c r="F5" s="259">
        <v>0</v>
      </c>
      <c r="G5" s="259">
        <v>0</v>
      </c>
      <c r="H5" s="259">
        <v>0</v>
      </c>
      <c r="I5" s="260">
        <v>0</v>
      </c>
      <c r="J5" s="260">
        <v>0</v>
      </c>
      <c r="K5" s="260">
        <v>0</v>
      </c>
      <c r="L5" s="260">
        <v>0</v>
      </c>
      <c r="M5" s="260">
        <v>0</v>
      </c>
      <c r="N5" s="260">
        <v>0</v>
      </c>
      <c r="O5" s="260">
        <v>0</v>
      </c>
      <c r="P5" s="260">
        <v>0</v>
      </c>
      <c r="Q5" s="260">
        <v>0</v>
      </c>
      <c r="R5" s="260">
        <v>0</v>
      </c>
      <c r="S5" s="260">
        <v>0</v>
      </c>
      <c r="T5" s="260">
        <v>0</v>
      </c>
      <c r="U5" s="260">
        <v>0</v>
      </c>
      <c r="V5" s="260">
        <v>0</v>
      </c>
      <c r="W5" s="260">
        <v>0</v>
      </c>
      <c r="X5" s="260">
        <v>0</v>
      </c>
      <c r="Y5" s="260">
        <v>0</v>
      </c>
      <c r="Z5" s="260">
        <v>0</v>
      </c>
      <c r="AA5" s="260">
        <v>0</v>
      </c>
      <c r="AB5" s="260">
        <v>0</v>
      </c>
      <c r="AC5" s="260">
        <v>0</v>
      </c>
      <c r="AD5" s="260">
        <v>0</v>
      </c>
      <c r="AE5" s="260">
        <v>0</v>
      </c>
      <c r="AF5" s="260">
        <v>0</v>
      </c>
      <c r="AG5" s="260">
        <v>0</v>
      </c>
      <c r="AH5" s="260">
        <v>0</v>
      </c>
      <c r="AI5" s="260">
        <v>0</v>
      </c>
      <c r="AJ5" s="260">
        <v>0</v>
      </c>
      <c r="AK5" s="260">
        <v>0</v>
      </c>
      <c r="AL5" s="260">
        <v>0</v>
      </c>
      <c r="AM5" s="260">
        <v>0</v>
      </c>
      <c r="AN5" s="260">
        <v>0</v>
      </c>
      <c r="AO5" s="260">
        <v>0</v>
      </c>
      <c r="AP5" s="260">
        <v>0</v>
      </c>
      <c r="AQ5" s="260">
        <v>0</v>
      </c>
      <c r="AR5" s="260">
        <v>0</v>
      </c>
      <c r="AS5" s="260">
        <v>0</v>
      </c>
      <c r="AT5" s="260">
        <v>0</v>
      </c>
      <c r="AU5" s="260">
        <v>0</v>
      </c>
      <c r="AV5" s="260">
        <v>0</v>
      </c>
      <c r="AW5" s="260">
        <v>0</v>
      </c>
      <c r="AX5" s="260">
        <v>0</v>
      </c>
      <c r="AY5" s="260">
        <v>0</v>
      </c>
      <c r="AZ5" s="260">
        <v>0</v>
      </c>
      <c r="BA5" s="260">
        <v>0</v>
      </c>
      <c r="BB5" s="260">
        <v>0</v>
      </c>
      <c r="BC5" s="260">
        <v>0</v>
      </c>
      <c r="BD5" s="260">
        <v>0</v>
      </c>
      <c r="BE5" s="260">
        <v>0</v>
      </c>
      <c r="BF5" s="260">
        <v>0</v>
      </c>
      <c r="BG5" s="260">
        <v>0</v>
      </c>
      <c r="BH5" s="260">
        <v>0</v>
      </c>
      <c r="BI5" s="260">
        <v>0</v>
      </c>
      <c r="BJ5" s="260">
        <v>0</v>
      </c>
      <c r="BK5" s="260">
        <v>0</v>
      </c>
      <c r="BL5" s="260">
        <v>0</v>
      </c>
      <c r="BM5" s="260">
        <v>0</v>
      </c>
      <c r="BN5" s="260">
        <v>0</v>
      </c>
      <c r="BO5" s="260">
        <v>0</v>
      </c>
      <c r="BP5" s="260">
        <v>0</v>
      </c>
      <c r="BQ5" s="260">
        <v>0</v>
      </c>
      <c r="BR5" s="260">
        <v>0</v>
      </c>
      <c r="BS5" s="260">
        <v>0</v>
      </c>
      <c r="BT5" s="260">
        <v>0</v>
      </c>
      <c r="BU5" s="260">
        <v>0</v>
      </c>
      <c r="BV5" s="260">
        <v>0</v>
      </c>
      <c r="BW5" s="260">
        <v>0</v>
      </c>
      <c r="BX5" s="260">
        <v>0</v>
      </c>
      <c r="BY5" s="260">
        <v>0</v>
      </c>
      <c r="BZ5" s="260">
        <v>0</v>
      </c>
      <c r="CA5" s="260">
        <v>0</v>
      </c>
      <c r="CB5" s="260">
        <v>0</v>
      </c>
      <c r="CC5" s="260">
        <v>0</v>
      </c>
      <c r="CD5" s="260">
        <v>0</v>
      </c>
      <c r="CE5" s="260">
        <v>0</v>
      </c>
      <c r="CF5" s="260">
        <v>0</v>
      </c>
      <c r="CG5" s="260">
        <v>0</v>
      </c>
      <c r="CH5" s="260">
        <v>0</v>
      </c>
    </row>
    <row r="6" spans="1:86" x14ac:dyDescent="0.25">
      <c r="A6" s="170">
        <v>1</v>
      </c>
      <c r="B6" s="170">
        <v>5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60">
        <v>0</v>
      </c>
      <c r="J6" s="260">
        <v>0</v>
      </c>
      <c r="K6" s="260">
        <v>0</v>
      </c>
      <c r="L6" s="260">
        <v>0</v>
      </c>
      <c r="M6" s="260">
        <v>0</v>
      </c>
      <c r="N6" s="260">
        <v>0</v>
      </c>
      <c r="O6" s="260">
        <v>0</v>
      </c>
      <c r="P6" s="260">
        <v>0</v>
      </c>
      <c r="Q6" s="260">
        <v>0</v>
      </c>
      <c r="R6" s="260">
        <v>0</v>
      </c>
      <c r="S6" s="260">
        <v>0</v>
      </c>
      <c r="T6" s="260">
        <v>0</v>
      </c>
      <c r="U6" s="260">
        <v>0</v>
      </c>
      <c r="V6" s="260">
        <v>0</v>
      </c>
      <c r="W6" s="260">
        <v>0</v>
      </c>
      <c r="X6" s="260">
        <v>0</v>
      </c>
      <c r="Y6" s="260">
        <v>0</v>
      </c>
      <c r="Z6" s="260">
        <v>0</v>
      </c>
      <c r="AA6" s="260">
        <v>0</v>
      </c>
      <c r="AB6" s="260">
        <v>0</v>
      </c>
      <c r="AC6" s="260">
        <v>0</v>
      </c>
      <c r="AD6" s="260">
        <v>0</v>
      </c>
      <c r="AE6" s="260">
        <v>0</v>
      </c>
      <c r="AF6" s="260">
        <v>0</v>
      </c>
      <c r="AG6" s="260">
        <v>0</v>
      </c>
      <c r="AH6" s="260">
        <v>0</v>
      </c>
      <c r="AI6" s="260">
        <v>0</v>
      </c>
      <c r="AJ6" s="260">
        <v>0</v>
      </c>
      <c r="AK6" s="260">
        <v>0</v>
      </c>
      <c r="AL6" s="260">
        <v>0</v>
      </c>
      <c r="AM6" s="260">
        <v>0</v>
      </c>
      <c r="AN6" s="260">
        <v>0</v>
      </c>
      <c r="AO6" s="260">
        <v>0</v>
      </c>
      <c r="AP6" s="260">
        <v>0</v>
      </c>
      <c r="AQ6" s="260">
        <v>0</v>
      </c>
      <c r="AR6" s="260">
        <v>0</v>
      </c>
      <c r="AS6" s="260">
        <v>0</v>
      </c>
      <c r="AT6" s="260">
        <v>0</v>
      </c>
      <c r="AU6" s="260">
        <v>0</v>
      </c>
      <c r="AV6" s="260">
        <v>0</v>
      </c>
      <c r="AW6" s="260">
        <v>0</v>
      </c>
      <c r="AX6" s="260">
        <v>0</v>
      </c>
      <c r="AY6" s="260">
        <v>0</v>
      </c>
      <c r="AZ6" s="260">
        <v>0</v>
      </c>
      <c r="BA6" s="260">
        <v>0</v>
      </c>
      <c r="BB6" s="260">
        <v>0</v>
      </c>
      <c r="BC6" s="260">
        <v>0</v>
      </c>
      <c r="BD6" s="260">
        <v>0</v>
      </c>
      <c r="BE6" s="260">
        <v>0</v>
      </c>
      <c r="BF6" s="260">
        <v>0</v>
      </c>
      <c r="BG6" s="260">
        <v>0</v>
      </c>
      <c r="BH6" s="260">
        <v>0</v>
      </c>
      <c r="BI6" s="260">
        <v>0</v>
      </c>
      <c r="BJ6" s="260">
        <v>0</v>
      </c>
      <c r="BK6" s="260">
        <v>0</v>
      </c>
      <c r="BL6" s="260">
        <v>0</v>
      </c>
      <c r="BM6" s="260">
        <v>0</v>
      </c>
      <c r="BN6" s="260">
        <v>0</v>
      </c>
      <c r="BO6" s="260">
        <v>0</v>
      </c>
      <c r="BP6" s="260">
        <v>0</v>
      </c>
      <c r="BQ6" s="260">
        <v>0</v>
      </c>
      <c r="BR6" s="260">
        <v>0</v>
      </c>
      <c r="BS6" s="260">
        <v>0</v>
      </c>
      <c r="BT6" s="260">
        <v>0</v>
      </c>
      <c r="BU6" s="260">
        <v>0</v>
      </c>
      <c r="BV6" s="260">
        <v>0</v>
      </c>
      <c r="BW6" s="260">
        <v>0</v>
      </c>
      <c r="BX6" s="260">
        <v>0</v>
      </c>
      <c r="BY6" s="260">
        <v>0</v>
      </c>
      <c r="BZ6" s="260">
        <v>0</v>
      </c>
      <c r="CA6" s="260">
        <v>0</v>
      </c>
      <c r="CB6" s="260">
        <v>0</v>
      </c>
      <c r="CC6" s="260">
        <v>0</v>
      </c>
      <c r="CD6" s="260">
        <v>0</v>
      </c>
      <c r="CE6" s="260">
        <v>0</v>
      </c>
      <c r="CF6" s="260">
        <v>0</v>
      </c>
      <c r="CG6" s="260">
        <v>0</v>
      </c>
      <c r="CH6" s="260">
        <v>0</v>
      </c>
    </row>
    <row r="7" spans="1:86" x14ac:dyDescent="0.25">
      <c r="A7" s="170">
        <v>1</v>
      </c>
      <c r="B7" s="170">
        <v>6</v>
      </c>
      <c r="C7" s="259">
        <v>0</v>
      </c>
      <c r="D7" s="259">
        <v>0</v>
      </c>
      <c r="E7" s="259">
        <v>0</v>
      </c>
      <c r="F7" s="259">
        <v>0</v>
      </c>
      <c r="G7" s="259">
        <v>0</v>
      </c>
      <c r="H7" s="259">
        <v>0</v>
      </c>
      <c r="I7" s="260">
        <v>0</v>
      </c>
      <c r="J7" s="260">
        <v>0</v>
      </c>
      <c r="K7" s="260">
        <v>0</v>
      </c>
      <c r="L7" s="260">
        <v>0</v>
      </c>
      <c r="M7" s="260">
        <v>0</v>
      </c>
      <c r="N7" s="260">
        <v>0</v>
      </c>
      <c r="O7" s="260">
        <v>0</v>
      </c>
      <c r="P7" s="260">
        <v>0</v>
      </c>
      <c r="Q7" s="260">
        <v>0</v>
      </c>
      <c r="R7" s="260">
        <v>0</v>
      </c>
      <c r="S7" s="260">
        <v>0</v>
      </c>
      <c r="T7" s="260">
        <v>0</v>
      </c>
      <c r="U7" s="260">
        <v>0</v>
      </c>
      <c r="V7" s="260">
        <v>0</v>
      </c>
      <c r="W7" s="260">
        <v>0</v>
      </c>
      <c r="X7" s="260">
        <v>0</v>
      </c>
      <c r="Y7" s="260">
        <v>0</v>
      </c>
      <c r="Z7" s="260">
        <v>0</v>
      </c>
      <c r="AA7" s="260">
        <v>0</v>
      </c>
      <c r="AB7" s="260">
        <v>0</v>
      </c>
      <c r="AC7" s="260">
        <v>0</v>
      </c>
      <c r="AD7" s="260">
        <v>0</v>
      </c>
      <c r="AE7" s="260">
        <v>0</v>
      </c>
      <c r="AF7" s="260">
        <v>0</v>
      </c>
      <c r="AG7" s="260">
        <v>0</v>
      </c>
      <c r="AH7" s="260">
        <v>0</v>
      </c>
      <c r="AI7" s="260">
        <v>0</v>
      </c>
      <c r="AJ7" s="260">
        <v>0</v>
      </c>
      <c r="AK7" s="260">
        <v>0</v>
      </c>
      <c r="AL7" s="260">
        <v>0</v>
      </c>
      <c r="AM7" s="260">
        <v>0</v>
      </c>
      <c r="AN7" s="260">
        <v>0</v>
      </c>
      <c r="AO7" s="260">
        <v>0</v>
      </c>
      <c r="AP7" s="260">
        <v>0</v>
      </c>
      <c r="AQ7" s="260">
        <v>0</v>
      </c>
      <c r="AR7" s="260">
        <v>0</v>
      </c>
      <c r="AS7" s="260">
        <v>0</v>
      </c>
      <c r="AT7" s="260">
        <v>0</v>
      </c>
      <c r="AU7" s="260">
        <v>0</v>
      </c>
      <c r="AV7" s="260">
        <v>0</v>
      </c>
      <c r="AW7" s="260">
        <v>0</v>
      </c>
      <c r="AX7" s="260">
        <v>0</v>
      </c>
      <c r="AY7" s="260">
        <v>0</v>
      </c>
      <c r="AZ7" s="260">
        <v>0</v>
      </c>
      <c r="BA7" s="260">
        <v>0</v>
      </c>
      <c r="BB7" s="260">
        <v>0</v>
      </c>
      <c r="BC7" s="260">
        <v>0</v>
      </c>
      <c r="BD7" s="260">
        <v>0</v>
      </c>
      <c r="BE7" s="260">
        <v>0</v>
      </c>
      <c r="BF7" s="260">
        <v>0</v>
      </c>
      <c r="BG7" s="260">
        <v>0</v>
      </c>
      <c r="BH7" s="260">
        <v>0</v>
      </c>
      <c r="BI7" s="260">
        <v>0</v>
      </c>
      <c r="BJ7" s="260">
        <v>0</v>
      </c>
      <c r="BK7" s="260">
        <v>0</v>
      </c>
      <c r="BL7" s="260">
        <v>0</v>
      </c>
      <c r="BM7" s="260">
        <v>0</v>
      </c>
      <c r="BN7" s="260">
        <v>0</v>
      </c>
      <c r="BO7" s="260">
        <v>0</v>
      </c>
      <c r="BP7" s="260">
        <v>0</v>
      </c>
      <c r="BQ7" s="260">
        <v>0</v>
      </c>
      <c r="BR7" s="260">
        <v>0</v>
      </c>
      <c r="BS7" s="260">
        <v>0</v>
      </c>
      <c r="BT7" s="260">
        <v>0</v>
      </c>
      <c r="BU7" s="260">
        <v>0</v>
      </c>
      <c r="BV7" s="260">
        <v>0</v>
      </c>
      <c r="BW7" s="260">
        <v>0</v>
      </c>
      <c r="BX7" s="260">
        <v>0</v>
      </c>
      <c r="BY7" s="260">
        <v>0</v>
      </c>
      <c r="BZ7" s="260">
        <v>0</v>
      </c>
      <c r="CA7" s="260">
        <v>0</v>
      </c>
      <c r="CB7" s="260">
        <v>0</v>
      </c>
      <c r="CC7" s="260">
        <v>0</v>
      </c>
      <c r="CD7" s="260">
        <v>0</v>
      </c>
      <c r="CE7" s="260">
        <v>0</v>
      </c>
      <c r="CF7" s="260">
        <v>0</v>
      </c>
      <c r="CG7" s="260">
        <v>0</v>
      </c>
      <c r="CH7" s="260">
        <v>0</v>
      </c>
    </row>
    <row r="8" spans="1:86" x14ac:dyDescent="0.25">
      <c r="A8" s="170">
        <v>1</v>
      </c>
      <c r="B8" s="170">
        <v>7</v>
      </c>
      <c r="C8" s="259">
        <v>0</v>
      </c>
      <c r="D8" s="259">
        <v>0</v>
      </c>
      <c r="E8" s="259">
        <v>0</v>
      </c>
      <c r="F8" s="259">
        <v>0</v>
      </c>
      <c r="G8" s="259">
        <v>0</v>
      </c>
      <c r="H8" s="259">
        <v>0</v>
      </c>
      <c r="I8" s="260">
        <v>0</v>
      </c>
      <c r="J8" s="260">
        <v>0</v>
      </c>
      <c r="K8" s="260">
        <v>0</v>
      </c>
      <c r="L8" s="260">
        <v>0</v>
      </c>
      <c r="M8" s="260">
        <v>0</v>
      </c>
      <c r="N8" s="260">
        <v>0</v>
      </c>
      <c r="O8" s="260">
        <v>0</v>
      </c>
      <c r="P8" s="260">
        <v>0</v>
      </c>
      <c r="Q8" s="260">
        <v>0</v>
      </c>
      <c r="R8" s="260">
        <v>0</v>
      </c>
      <c r="S8" s="260">
        <v>0</v>
      </c>
      <c r="T8" s="260">
        <v>0</v>
      </c>
      <c r="U8" s="260">
        <v>0</v>
      </c>
      <c r="V8" s="260">
        <v>0</v>
      </c>
      <c r="W8" s="260">
        <v>0</v>
      </c>
      <c r="X8" s="260">
        <v>0</v>
      </c>
      <c r="Y8" s="260">
        <v>0</v>
      </c>
      <c r="Z8" s="260">
        <v>0</v>
      </c>
      <c r="AA8" s="260">
        <v>0</v>
      </c>
      <c r="AB8" s="260">
        <v>0</v>
      </c>
      <c r="AC8" s="260">
        <v>0</v>
      </c>
      <c r="AD8" s="260">
        <v>0</v>
      </c>
      <c r="AE8" s="260">
        <v>0</v>
      </c>
      <c r="AF8" s="260">
        <v>0</v>
      </c>
      <c r="AG8" s="260">
        <v>0</v>
      </c>
      <c r="AH8" s="260">
        <v>0</v>
      </c>
      <c r="AI8" s="260">
        <v>0</v>
      </c>
      <c r="AJ8" s="260">
        <v>0</v>
      </c>
      <c r="AK8" s="260">
        <v>0</v>
      </c>
      <c r="AL8" s="260">
        <v>0</v>
      </c>
      <c r="AM8" s="260">
        <v>0</v>
      </c>
      <c r="AN8" s="260">
        <v>0</v>
      </c>
      <c r="AO8" s="260">
        <v>0</v>
      </c>
      <c r="AP8" s="260">
        <v>0</v>
      </c>
      <c r="AQ8" s="260">
        <v>0</v>
      </c>
      <c r="AR8" s="260">
        <v>0</v>
      </c>
      <c r="AS8" s="260">
        <v>0</v>
      </c>
      <c r="AT8" s="260">
        <v>0</v>
      </c>
      <c r="AU8" s="260">
        <v>0</v>
      </c>
      <c r="AV8" s="260">
        <v>0</v>
      </c>
      <c r="AW8" s="260">
        <v>0</v>
      </c>
      <c r="AX8" s="260">
        <v>0</v>
      </c>
      <c r="AY8" s="260">
        <v>0</v>
      </c>
      <c r="AZ8" s="260">
        <v>0</v>
      </c>
      <c r="BA8" s="260">
        <v>0</v>
      </c>
      <c r="BB8" s="260">
        <v>0</v>
      </c>
      <c r="BC8" s="260">
        <v>0</v>
      </c>
      <c r="BD8" s="260">
        <v>0</v>
      </c>
      <c r="BE8" s="260">
        <v>0</v>
      </c>
      <c r="BF8" s="260">
        <v>0</v>
      </c>
      <c r="BG8" s="260">
        <v>0</v>
      </c>
      <c r="BH8" s="260">
        <v>0</v>
      </c>
      <c r="BI8" s="260">
        <v>0</v>
      </c>
      <c r="BJ8" s="260">
        <v>0</v>
      </c>
      <c r="BK8" s="260">
        <v>0</v>
      </c>
      <c r="BL8" s="260">
        <v>0</v>
      </c>
      <c r="BM8" s="260">
        <v>0</v>
      </c>
      <c r="BN8" s="260">
        <v>0</v>
      </c>
      <c r="BO8" s="260">
        <v>0</v>
      </c>
      <c r="BP8" s="260">
        <v>0</v>
      </c>
      <c r="BQ8" s="260">
        <v>0</v>
      </c>
      <c r="BR8" s="260">
        <v>0</v>
      </c>
      <c r="BS8" s="260">
        <v>0</v>
      </c>
      <c r="BT8" s="260">
        <v>0</v>
      </c>
      <c r="BU8" s="260">
        <v>0</v>
      </c>
      <c r="BV8" s="260">
        <v>0</v>
      </c>
      <c r="BW8" s="260">
        <v>0</v>
      </c>
      <c r="BX8" s="260">
        <v>0</v>
      </c>
      <c r="BY8" s="260">
        <v>0</v>
      </c>
      <c r="BZ8" s="260">
        <v>0</v>
      </c>
      <c r="CA8" s="260">
        <v>0</v>
      </c>
      <c r="CB8" s="260">
        <v>0</v>
      </c>
      <c r="CC8" s="260">
        <v>0</v>
      </c>
      <c r="CD8" s="260">
        <v>0</v>
      </c>
      <c r="CE8" s="260">
        <v>0</v>
      </c>
      <c r="CF8" s="260">
        <v>0</v>
      </c>
      <c r="CG8" s="260">
        <v>0</v>
      </c>
      <c r="CH8" s="260">
        <v>0</v>
      </c>
    </row>
    <row r="9" spans="1:86" x14ac:dyDescent="0.25">
      <c r="A9" s="170">
        <v>1</v>
      </c>
      <c r="B9" s="170">
        <v>8</v>
      </c>
      <c r="C9" s="259">
        <v>0</v>
      </c>
      <c r="D9" s="259">
        <v>0</v>
      </c>
      <c r="E9" s="259">
        <v>0</v>
      </c>
      <c r="F9" s="259">
        <v>0</v>
      </c>
      <c r="G9" s="259">
        <v>0</v>
      </c>
      <c r="H9" s="259">
        <v>0</v>
      </c>
      <c r="I9" s="260">
        <v>0</v>
      </c>
      <c r="J9" s="260">
        <v>0</v>
      </c>
      <c r="K9" s="260">
        <v>0</v>
      </c>
      <c r="L9" s="260">
        <v>0</v>
      </c>
      <c r="M9" s="260">
        <v>0</v>
      </c>
      <c r="N9" s="260">
        <v>0</v>
      </c>
      <c r="O9" s="260">
        <v>0</v>
      </c>
      <c r="P9" s="260">
        <v>0</v>
      </c>
      <c r="Q9" s="260">
        <v>0</v>
      </c>
      <c r="R9" s="260">
        <v>0</v>
      </c>
      <c r="S9" s="260">
        <v>0</v>
      </c>
      <c r="T9" s="260">
        <v>0</v>
      </c>
      <c r="U9" s="260">
        <v>0</v>
      </c>
      <c r="V9" s="260">
        <v>0</v>
      </c>
      <c r="W9" s="260">
        <v>0</v>
      </c>
      <c r="X9" s="260">
        <v>0</v>
      </c>
      <c r="Y9" s="260">
        <v>0</v>
      </c>
      <c r="Z9" s="260">
        <v>0</v>
      </c>
      <c r="AA9" s="260">
        <v>0</v>
      </c>
      <c r="AB9" s="260">
        <v>0</v>
      </c>
      <c r="AC9" s="260">
        <v>0</v>
      </c>
      <c r="AD9" s="260">
        <v>0</v>
      </c>
      <c r="AE9" s="260">
        <v>0</v>
      </c>
      <c r="AF9" s="260">
        <v>0</v>
      </c>
      <c r="AG9" s="260">
        <v>0</v>
      </c>
      <c r="AH9" s="260">
        <v>0</v>
      </c>
      <c r="AI9" s="260">
        <v>0</v>
      </c>
      <c r="AJ9" s="260">
        <v>0</v>
      </c>
      <c r="AK9" s="260">
        <v>0</v>
      </c>
      <c r="AL9" s="260">
        <v>0</v>
      </c>
      <c r="AM9" s="260">
        <v>0</v>
      </c>
      <c r="AN9" s="260">
        <v>0</v>
      </c>
      <c r="AO9" s="260">
        <v>0</v>
      </c>
      <c r="AP9" s="260">
        <v>0</v>
      </c>
      <c r="AQ9" s="260">
        <v>0</v>
      </c>
      <c r="AR9" s="260">
        <v>0</v>
      </c>
      <c r="AS9" s="260">
        <v>0</v>
      </c>
      <c r="AT9" s="260">
        <v>0</v>
      </c>
      <c r="AU9" s="260">
        <v>0</v>
      </c>
      <c r="AV9" s="260">
        <v>0</v>
      </c>
      <c r="AW9" s="260">
        <v>0</v>
      </c>
      <c r="AX9" s="260">
        <v>0</v>
      </c>
      <c r="AY9" s="260">
        <v>0</v>
      </c>
      <c r="AZ9" s="260">
        <v>0</v>
      </c>
      <c r="BA9" s="260">
        <v>0</v>
      </c>
      <c r="BB9" s="260">
        <v>0</v>
      </c>
      <c r="BC9" s="260">
        <v>0</v>
      </c>
      <c r="BD9" s="260">
        <v>0</v>
      </c>
      <c r="BE9" s="260">
        <v>0</v>
      </c>
      <c r="BF9" s="260">
        <v>0</v>
      </c>
      <c r="BG9" s="260">
        <v>0</v>
      </c>
      <c r="BH9" s="260">
        <v>0</v>
      </c>
      <c r="BI9" s="260">
        <v>0</v>
      </c>
      <c r="BJ9" s="260">
        <v>0</v>
      </c>
      <c r="BK9" s="260">
        <v>0</v>
      </c>
      <c r="BL9" s="260">
        <v>0</v>
      </c>
      <c r="BM9" s="260">
        <v>0</v>
      </c>
      <c r="BN9" s="260">
        <v>0</v>
      </c>
      <c r="BO9" s="260">
        <v>0</v>
      </c>
      <c r="BP9" s="260">
        <v>0</v>
      </c>
      <c r="BQ9" s="260">
        <v>0</v>
      </c>
      <c r="BR9" s="260">
        <v>0</v>
      </c>
      <c r="BS9" s="260">
        <v>0</v>
      </c>
      <c r="BT9" s="260">
        <v>0</v>
      </c>
      <c r="BU9" s="260">
        <v>0</v>
      </c>
      <c r="BV9" s="260">
        <v>0</v>
      </c>
      <c r="BW9" s="260">
        <v>0</v>
      </c>
      <c r="BX9" s="260">
        <v>0</v>
      </c>
      <c r="BY9" s="260">
        <v>0</v>
      </c>
      <c r="BZ9" s="260">
        <v>0</v>
      </c>
      <c r="CA9" s="260">
        <v>0</v>
      </c>
      <c r="CB9" s="260">
        <v>0</v>
      </c>
      <c r="CC9" s="260">
        <v>0</v>
      </c>
      <c r="CD9" s="260">
        <v>0</v>
      </c>
      <c r="CE9" s="260">
        <v>0</v>
      </c>
      <c r="CF9" s="260">
        <v>0</v>
      </c>
      <c r="CG9" s="260">
        <v>0</v>
      </c>
      <c r="CH9" s="260">
        <v>0</v>
      </c>
    </row>
    <row r="10" spans="1:86" x14ac:dyDescent="0.25">
      <c r="A10" s="170">
        <v>1</v>
      </c>
      <c r="B10" s="170">
        <v>9</v>
      </c>
      <c r="C10" s="259">
        <v>0</v>
      </c>
      <c r="D10" s="259">
        <v>0</v>
      </c>
      <c r="E10" s="259">
        <v>0</v>
      </c>
      <c r="F10" s="259">
        <v>0</v>
      </c>
      <c r="G10" s="259">
        <v>0</v>
      </c>
      <c r="H10" s="259">
        <v>0</v>
      </c>
      <c r="I10" s="260">
        <v>0</v>
      </c>
      <c r="J10" s="260">
        <v>0</v>
      </c>
      <c r="K10" s="260">
        <v>0</v>
      </c>
      <c r="L10" s="260">
        <v>0</v>
      </c>
      <c r="M10" s="260">
        <v>0</v>
      </c>
      <c r="N10" s="260">
        <v>0</v>
      </c>
      <c r="O10" s="260">
        <v>0</v>
      </c>
      <c r="P10" s="260">
        <v>0</v>
      </c>
      <c r="Q10" s="260">
        <v>0</v>
      </c>
      <c r="R10" s="260">
        <v>0</v>
      </c>
      <c r="S10" s="260">
        <v>0</v>
      </c>
      <c r="T10" s="260">
        <v>0</v>
      </c>
      <c r="U10" s="260">
        <v>0</v>
      </c>
      <c r="V10" s="260">
        <v>0</v>
      </c>
      <c r="W10" s="260">
        <v>0</v>
      </c>
      <c r="X10" s="260">
        <v>0</v>
      </c>
      <c r="Y10" s="260">
        <v>0</v>
      </c>
      <c r="Z10" s="260">
        <v>0</v>
      </c>
      <c r="AA10" s="260">
        <v>0</v>
      </c>
      <c r="AB10" s="260">
        <v>0</v>
      </c>
      <c r="AC10" s="260">
        <v>0</v>
      </c>
      <c r="AD10" s="260">
        <v>0</v>
      </c>
      <c r="AE10" s="260">
        <v>0</v>
      </c>
      <c r="AF10" s="260">
        <v>0</v>
      </c>
      <c r="AG10" s="260">
        <v>0</v>
      </c>
      <c r="AH10" s="260">
        <v>0</v>
      </c>
      <c r="AI10" s="260">
        <v>0</v>
      </c>
      <c r="AJ10" s="260">
        <v>0</v>
      </c>
      <c r="AK10" s="260">
        <v>0</v>
      </c>
      <c r="AL10" s="260">
        <v>0</v>
      </c>
      <c r="AM10" s="260">
        <v>0</v>
      </c>
      <c r="AN10" s="260">
        <v>0</v>
      </c>
      <c r="AO10" s="260">
        <v>0</v>
      </c>
      <c r="AP10" s="260">
        <v>0</v>
      </c>
      <c r="AQ10" s="260">
        <v>0</v>
      </c>
      <c r="AR10" s="260">
        <v>0</v>
      </c>
      <c r="AS10" s="260">
        <v>0</v>
      </c>
      <c r="AT10" s="260">
        <v>0</v>
      </c>
      <c r="AU10" s="260">
        <v>0</v>
      </c>
      <c r="AV10" s="260">
        <v>0</v>
      </c>
      <c r="AW10" s="260">
        <v>0</v>
      </c>
      <c r="AX10" s="260">
        <v>0</v>
      </c>
      <c r="AY10" s="260">
        <v>0</v>
      </c>
      <c r="AZ10" s="260">
        <v>0</v>
      </c>
      <c r="BA10" s="260">
        <v>0</v>
      </c>
      <c r="BB10" s="260">
        <v>0</v>
      </c>
      <c r="BC10" s="260">
        <v>0</v>
      </c>
      <c r="BD10" s="260">
        <v>0</v>
      </c>
      <c r="BE10" s="260">
        <v>0</v>
      </c>
      <c r="BF10" s="260">
        <v>0</v>
      </c>
      <c r="BG10" s="260">
        <v>0</v>
      </c>
      <c r="BH10" s="260">
        <v>0</v>
      </c>
      <c r="BI10" s="260">
        <v>0</v>
      </c>
      <c r="BJ10" s="260">
        <v>0</v>
      </c>
      <c r="BK10" s="260">
        <v>0</v>
      </c>
      <c r="BL10" s="260">
        <v>0</v>
      </c>
      <c r="BM10" s="260">
        <v>0</v>
      </c>
      <c r="BN10" s="260">
        <v>0</v>
      </c>
      <c r="BO10" s="260">
        <v>0</v>
      </c>
      <c r="BP10" s="260">
        <v>0</v>
      </c>
      <c r="BQ10" s="260">
        <v>0</v>
      </c>
      <c r="BR10" s="260">
        <v>0</v>
      </c>
      <c r="BS10" s="260">
        <v>0</v>
      </c>
      <c r="BT10" s="260">
        <v>0</v>
      </c>
      <c r="BU10" s="260">
        <v>0</v>
      </c>
      <c r="BV10" s="260">
        <v>0</v>
      </c>
      <c r="BW10" s="260">
        <v>0</v>
      </c>
      <c r="BX10" s="260">
        <v>0</v>
      </c>
      <c r="BY10" s="260">
        <v>0</v>
      </c>
      <c r="BZ10" s="260">
        <v>0</v>
      </c>
      <c r="CA10" s="260">
        <v>0</v>
      </c>
      <c r="CB10" s="260">
        <v>0</v>
      </c>
      <c r="CC10" s="260">
        <v>0</v>
      </c>
      <c r="CD10" s="260">
        <v>0</v>
      </c>
      <c r="CE10" s="260">
        <v>0</v>
      </c>
      <c r="CF10" s="260">
        <v>0</v>
      </c>
      <c r="CG10" s="260">
        <v>0</v>
      </c>
      <c r="CH10" s="260">
        <v>0</v>
      </c>
    </row>
    <row r="11" spans="1:86" x14ac:dyDescent="0.25">
      <c r="A11" s="170">
        <v>1</v>
      </c>
      <c r="B11" s="170">
        <v>10</v>
      </c>
      <c r="C11" s="259">
        <v>0</v>
      </c>
      <c r="D11" s="259">
        <v>0</v>
      </c>
      <c r="E11" s="259">
        <v>0</v>
      </c>
      <c r="F11" s="259">
        <v>0</v>
      </c>
      <c r="G11" s="259">
        <v>0</v>
      </c>
      <c r="H11" s="259">
        <v>0</v>
      </c>
      <c r="I11" s="260">
        <v>0</v>
      </c>
      <c r="J11" s="260">
        <v>0</v>
      </c>
      <c r="K11" s="260">
        <v>0</v>
      </c>
      <c r="L11" s="260">
        <v>0</v>
      </c>
      <c r="M11" s="260">
        <v>0</v>
      </c>
      <c r="N11" s="260">
        <v>0</v>
      </c>
      <c r="O11" s="260">
        <v>0</v>
      </c>
      <c r="P11" s="260">
        <v>0</v>
      </c>
      <c r="Q11" s="260">
        <v>0</v>
      </c>
      <c r="R11" s="260">
        <v>0</v>
      </c>
      <c r="S11" s="260">
        <v>0</v>
      </c>
      <c r="T11" s="260">
        <v>0</v>
      </c>
      <c r="U11" s="260">
        <v>0</v>
      </c>
      <c r="V11" s="260">
        <v>0</v>
      </c>
      <c r="W11" s="260">
        <v>0</v>
      </c>
      <c r="X11" s="260">
        <v>0</v>
      </c>
      <c r="Y11" s="260">
        <v>0</v>
      </c>
      <c r="Z11" s="260">
        <v>0</v>
      </c>
      <c r="AA11" s="260">
        <v>0</v>
      </c>
      <c r="AB11" s="260">
        <v>0</v>
      </c>
      <c r="AC11" s="260">
        <v>0</v>
      </c>
      <c r="AD11" s="260">
        <v>0</v>
      </c>
      <c r="AE11" s="260">
        <v>0</v>
      </c>
      <c r="AF11" s="260">
        <v>0</v>
      </c>
      <c r="AG11" s="260">
        <v>0</v>
      </c>
      <c r="AH11" s="260">
        <v>0</v>
      </c>
      <c r="AI11" s="260">
        <v>0</v>
      </c>
      <c r="AJ11" s="260">
        <v>0</v>
      </c>
      <c r="AK11" s="260">
        <v>0</v>
      </c>
      <c r="AL11" s="260">
        <v>0</v>
      </c>
      <c r="AM11" s="260">
        <v>0</v>
      </c>
      <c r="AN11" s="260">
        <v>0</v>
      </c>
      <c r="AO11" s="260">
        <v>0</v>
      </c>
      <c r="AP11" s="260">
        <v>0</v>
      </c>
      <c r="AQ11" s="260">
        <v>0</v>
      </c>
      <c r="AR11" s="260">
        <v>0</v>
      </c>
      <c r="AS11" s="260">
        <v>0</v>
      </c>
      <c r="AT11" s="260">
        <v>0</v>
      </c>
      <c r="AU11" s="260">
        <v>0</v>
      </c>
      <c r="AV11" s="260">
        <v>0</v>
      </c>
      <c r="AW11" s="260">
        <v>0</v>
      </c>
      <c r="AX11" s="260">
        <v>0</v>
      </c>
      <c r="AY11" s="260">
        <v>0</v>
      </c>
      <c r="AZ11" s="260">
        <v>0</v>
      </c>
      <c r="BA11" s="260">
        <v>0</v>
      </c>
      <c r="BB11" s="260">
        <v>0</v>
      </c>
      <c r="BC11" s="260">
        <v>0</v>
      </c>
      <c r="BD11" s="260">
        <v>0</v>
      </c>
      <c r="BE11" s="260">
        <v>0</v>
      </c>
      <c r="BF11" s="260">
        <v>0</v>
      </c>
      <c r="BG11" s="260">
        <v>0</v>
      </c>
      <c r="BH11" s="260">
        <v>0</v>
      </c>
      <c r="BI11" s="260">
        <v>0</v>
      </c>
      <c r="BJ11" s="260">
        <v>0</v>
      </c>
      <c r="BK11" s="260">
        <v>0</v>
      </c>
      <c r="BL11" s="260">
        <v>0</v>
      </c>
      <c r="BM11" s="260">
        <v>0</v>
      </c>
      <c r="BN11" s="260">
        <v>0</v>
      </c>
      <c r="BO11" s="260">
        <v>0</v>
      </c>
      <c r="BP11" s="260">
        <v>0</v>
      </c>
      <c r="BQ11" s="260">
        <v>0</v>
      </c>
      <c r="BR11" s="260">
        <v>0</v>
      </c>
      <c r="BS11" s="260">
        <v>0</v>
      </c>
      <c r="BT11" s="260">
        <v>0</v>
      </c>
      <c r="BU11" s="260">
        <v>0</v>
      </c>
      <c r="BV11" s="260">
        <v>0</v>
      </c>
      <c r="BW11" s="260">
        <v>0</v>
      </c>
      <c r="BX11" s="260">
        <v>0</v>
      </c>
      <c r="BY11" s="260">
        <v>0</v>
      </c>
      <c r="BZ11" s="260">
        <v>0</v>
      </c>
      <c r="CA11" s="260">
        <v>0</v>
      </c>
      <c r="CB11" s="260">
        <v>0</v>
      </c>
      <c r="CC11" s="260">
        <v>0</v>
      </c>
      <c r="CD11" s="260">
        <v>0</v>
      </c>
      <c r="CE11" s="260">
        <v>0</v>
      </c>
      <c r="CF11" s="260">
        <v>0</v>
      </c>
      <c r="CG11" s="260">
        <v>0</v>
      </c>
      <c r="CH11" s="260">
        <v>0</v>
      </c>
    </row>
    <row r="12" spans="1:86" x14ac:dyDescent="0.25">
      <c r="A12" s="170">
        <v>1</v>
      </c>
      <c r="B12" s="170">
        <v>11</v>
      </c>
      <c r="C12" s="259">
        <v>0</v>
      </c>
      <c r="D12" s="259">
        <v>0</v>
      </c>
      <c r="E12" s="259">
        <v>0</v>
      </c>
      <c r="F12" s="259">
        <v>0</v>
      </c>
      <c r="G12" s="259">
        <v>0</v>
      </c>
      <c r="H12" s="259">
        <v>0</v>
      </c>
      <c r="I12" s="260">
        <v>0</v>
      </c>
      <c r="J12" s="260">
        <v>0</v>
      </c>
      <c r="K12" s="260">
        <v>0</v>
      </c>
      <c r="L12" s="260">
        <v>0</v>
      </c>
      <c r="M12" s="260">
        <v>0</v>
      </c>
      <c r="N12" s="260">
        <v>0</v>
      </c>
      <c r="O12" s="260">
        <v>0</v>
      </c>
      <c r="P12" s="260">
        <v>0</v>
      </c>
      <c r="Q12" s="260">
        <v>0</v>
      </c>
      <c r="R12" s="260">
        <v>0</v>
      </c>
      <c r="S12" s="260">
        <v>0</v>
      </c>
      <c r="T12" s="260">
        <v>0</v>
      </c>
      <c r="U12" s="260">
        <v>0</v>
      </c>
      <c r="V12" s="260">
        <v>0</v>
      </c>
      <c r="W12" s="260">
        <v>0</v>
      </c>
      <c r="X12" s="260">
        <v>0</v>
      </c>
      <c r="Y12" s="260">
        <v>0</v>
      </c>
      <c r="Z12" s="260">
        <v>0</v>
      </c>
      <c r="AA12" s="260">
        <v>0</v>
      </c>
      <c r="AB12" s="260">
        <v>0</v>
      </c>
      <c r="AC12" s="260">
        <v>0</v>
      </c>
      <c r="AD12" s="260">
        <v>0</v>
      </c>
      <c r="AE12" s="260">
        <v>0</v>
      </c>
      <c r="AF12" s="260">
        <v>0</v>
      </c>
      <c r="AG12" s="260">
        <v>0</v>
      </c>
      <c r="AH12" s="260">
        <v>0</v>
      </c>
      <c r="AI12" s="260">
        <v>0</v>
      </c>
      <c r="AJ12" s="260">
        <v>0</v>
      </c>
      <c r="AK12" s="260">
        <v>0</v>
      </c>
      <c r="AL12" s="260">
        <v>0</v>
      </c>
      <c r="AM12" s="260">
        <v>0</v>
      </c>
      <c r="AN12" s="260">
        <v>0</v>
      </c>
      <c r="AO12" s="260">
        <v>0</v>
      </c>
      <c r="AP12" s="260">
        <v>0</v>
      </c>
      <c r="AQ12" s="260">
        <v>0</v>
      </c>
      <c r="AR12" s="260">
        <v>0</v>
      </c>
      <c r="AS12" s="260">
        <v>0</v>
      </c>
      <c r="AT12" s="260">
        <v>0</v>
      </c>
      <c r="AU12" s="260">
        <v>0</v>
      </c>
      <c r="AV12" s="260">
        <v>0</v>
      </c>
      <c r="AW12" s="260">
        <v>0</v>
      </c>
      <c r="AX12" s="260">
        <v>0</v>
      </c>
      <c r="AY12" s="260">
        <v>0</v>
      </c>
      <c r="AZ12" s="260">
        <v>0</v>
      </c>
      <c r="BA12" s="260">
        <v>0</v>
      </c>
      <c r="BB12" s="260">
        <v>0</v>
      </c>
      <c r="BC12" s="260">
        <v>0</v>
      </c>
      <c r="BD12" s="260">
        <v>0</v>
      </c>
      <c r="BE12" s="260">
        <v>0</v>
      </c>
      <c r="BF12" s="260">
        <v>0</v>
      </c>
      <c r="BG12" s="260">
        <v>0</v>
      </c>
      <c r="BH12" s="260">
        <v>0</v>
      </c>
      <c r="BI12" s="260">
        <v>0</v>
      </c>
      <c r="BJ12" s="260">
        <v>0</v>
      </c>
      <c r="BK12" s="260">
        <v>0</v>
      </c>
      <c r="BL12" s="260">
        <v>0</v>
      </c>
      <c r="BM12" s="260">
        <v>0</v>
      </c>
      <c r="BN12" s="260">
        <v>0</v>
      </c>
      <c r="BO12" s="260">
        <v>0</v>
      </c>
      <c r="BP12" s="260">
        <v>0</v>
      </c>
      <c r="BQ12" s="260">
        <v>0</v>
      </c>
      <c r="BR12" s="260">
        <v>0</v>
      </c>
      <c r="BS12" s="260">
        <v>0</v>
      </c>
      <c r="BT12" s="260">
        <v>0</v>
      </c>
      <c r="BU12" s="260">
        <v>0</v>
      </c>
      <c r="BV12" s="260">
        <v>0</v>
      </c>
      <c r="BW12" s="260">
        <v>0</v>
      </c>
      <c r="BX12" s="260">
        <v>0</v>
      </c>
      <c r="BY12" s="260">
        <v>0</v>
      </c>
      <c r="BZ12" s="260">
        <v>0</v>
      </c>
      <c r="CA12" s="260">
        <v>0</v>
      </c>
      <c r="CB12" s="260">
        <v>0</v>
      </c>
      <c r="CC12" s="260">
        <v>0</v>
      </c>
      <c r="CD12" s="260">
        <v>0</v>
      </c>
      <c r="CE12" s="260">
        <v>0</v>
      </c>
      <c r="CF12" s="260">
        <v>0</v>
      </c>
      <c r="CG12" s="260">
        <v>0</v>
      </c>
      <c r="CH12" s="260">
        <v>0</v>
      </c>
    </row>
    <row r="13" spans="1:86" x14ac:dyDescent="0.25">
      <c r="A13" s="170">
        <v>1</v>
      </c>
      <c r="B13" s="170">
        <v>12</v>
      </c>
      <c r="C13" s="259">
        <v>0</v>
      </c>
      <c r="D13" s="259">
        <v>0</v>
      </c>
      <c r="E13" s="259">
        <v>0</v>
      </c>
      <c r="F13" s="259">
        <v>0</v>
      </c>
      <c r="G13" s="259">
        <v>0</v>
      </c>
      <c r="H13" s="259">
        <v>0</v>
      </c>
      <c r="I13" s="260">
        <v>0</v>
      </c>
      <c r="J13" s="260">
        <v>0</v>
      </c>
      <c r="K13" s="260">
        <v>0</v>
      </c>
      <c r="L13" s="260">
        <v>0</v>
      </c>
      <c r="M13" s="260">
        <v>0</v>
      </c>
      <c r="N13" s="260">
        <v>0</v>
      </c>
      <c r="O13" s="260">
        <v>0</v>
      </c>
      <c r="P13" s="260">
        <v>0</v>
      </c>
      <c r="Q13" s="260">
        <v>0</v>
      </c>
      <c r="R13" s="260">
        <v>0</v>
      </c>
      <c r="S13" s="260">
        <v>0</v>
      </c>
      <c r="T13" s="260">
        <v>0</v>
      </c>
      <c r="U13" s="260">
        <v>0</v>
      </c>
      <c r="V13" s="260">
        <v>0</v>
      </c>
      <c r="W13" s="260">
        <v>0</v>
      </c>
      <c r="X13" s="260">
        <v>0</v>
      </c>
      <c r="Y13" s="260">
        <v>0</v>
      </c>
      <c r="Z13" s="260">
        <v>0</v>
      </c>
      <c r="AA13" s="260">
        <v>0</v>
      </c>
      <c r="AB13" s="260">
        <v>0</v>
      </c>
      <c r="AC13" s="260">
        <v>0</v>
      </c>
      <c r="AD13" s="260">
        <v>0</v>
      </c>
      <c r="AE13" s="260">
        <v>0</v>
      </c>
      <c r="AF13" s="260">
        <v>0</v>
      </c>
      <c r="AG13" s="260">
        <v>0</v>
      </c>
      <c r="AH13" s="260">
        <v>0</v>
      </c>
      <c r="AI13" s="260">
        <v>0</v>
      </c>
      <c r="AJ13" s="260">
        <v>0</v>
      </c>
      <c r="AK13" s="260">
        <v>0</v>
      </c>
      <c r="AL13" s="260">
        <v>0</v>
      </c>
      <c r="AM13" s="260">
        <v>0</v>
      </c>
      <c r="AN13" s="260">
        <v>0</v>
      </c>
      <c r="AO13" s="260">
        <v>0</v>
      </c>
      <c r="AP13" s="260">
        <v>0</v>
      </c>
      <c r="AQ13" s="260">
        <v>0</v>
      </c>
      <c r="AR13" s="260">
        <v>0</v>
      </c>
      <c r="AS13" s="260">
        <v>0</v>
      </c>
      <c r="AT13" s="260">
        <v>0</v>
      </c>
      <c r="AU13" s="260">
        <v>0</v>
      </c>
      <c r="AV13" s="260">
        <v>0</v>
      </c>
      <c r="AW13" s="260">
        <v>0</v>
      </c>
      <c r="AX13" s="260">
        <v>0</v>
      </c>
      <c r="AY13" s="260">
        <v>0</v>
      </c>
      <c r="AZ13" s="260">
        <v>0</v>
      </c>
      <c r="BA13" s="260">
        <v>0</v>
      </c>
      <c r="BB13" s="260">
        <v>0</v>
      </c>
      <c r="BC13" s="260">
        <v>0</v>
      </c>
      <c r="BD13" s="260">
        <v>0</v>
      </c>
      <c r="BE13" s="260">
        <v>0</v>
      </c>
      <c r="BF13" s="260">
        <v>0</v>
      </c>
      <c r="BG13" s="260">
        <v>0</v>
      </c>
      <c r="BH13" s="260">
        <v>0</v>
      </c>
      <c r="BI13" s="260">
        <v>0</v>
      </c>
      <c r="BJ13" s="260">
        <v>0</v>
      </c>
      <c r="BK13" s="260">
        <v>0</v>
      </c>
      <c r="BL13" s="260">
        <v>0</v>
      </c>
      <c r="BM13" s="260">
        <v>0</v>
      </c>
      <c r="BN13" s="260">
        <v>0</v>
      </c>
      <c r="BO13" s="260">
        <v>0</v>
      </c>
      <c r="BP13" s="260">
        <v>0</v>
      </c>
      <c r="BQ13" s="260">
        <v>0</v>
      </c>
      <c r="BR13" s="260">
        <v>0</v>
      </c>
      <c r="BS13" s="260">
        <v>0</v>
      </c>
      <c r="BT13" s="260">
        <v>0</v>
      </c>
      <c r="BU13" s="260">
        <v>0</v>
      </c>
      <c r="BV13" s="260">
        <v>0</v>
      </c>
      <c r="BW13" s="260">
        <v>0</v>
      </c>
      <c r="BX13" s="260">
        <v>0</v>
      </c>
      <c r="BY13" s="260">
        <v>0</v>
      </c>
      <c r="BZ13" s="260">
        <v>0</v>
      </c>
      <c r="CA13" s="260">
        <v>0</v>
      </c>
      <c r="CB13" s="260">
        <v>0</v>
      </c>
      <c r="CC13" s="260">
        <v>0</v>
      </c>
      <c r="CD13" s="260">
        <v>0</v>
      </c>
      <c r="CE13" s="260">
        <v>0</v>
      </c>
      <c r="CF13" s="260">
        <v>0</v>
      </c>
      <c r="CG13" s="260">
        <v>0</v>
      </c>
      <c r="CH13" s="260">
        <v>0</v>
      </c>
    </row>
    <row r="14" spans="1:86" x14ac:dyDescent="0.25">
      <c r="A14" s="170">
        <v>1</v>
      </c>
      <c r="B14" s="170">
        <v>13</v>
      </c>
      <c r="C14" s="259">
        <v>0</v>
      </c>
      <c r="D14" s="259">
        <v>0</v>
      </c>
      <c r="E14" s="259">
        <v>0</v>
      </c>
      <c r="F14" s="259">
        <v>0</v>
      </c>
      <c r="G14" s="259">
        <v>0</v>
      </c>
      <c r="H14" s="259">
        <v>0</v>
      </c>
      <c r="I14" s="260">
        <v>0</v>
      </c>
      <c r="J14" s="260">
        <v>0</v>
      </c>
      <c r="K14" s="260">
        <v>0</v>
      </c>
      <c r="L14" s="260">
        <v>0</v>
      </c>
      <c r="M14" s="260">
        <v>0</v>
      </c>
      <c r="N14" s="260">
        <v>0</v>
      </c>
      <c r="O14" s="260">
        <v>0</v>
      </c>
      <c r="P14" s="260">
        <v>0</v>
      </c>
      <c r="Q14" s="260">
        <v>0</v>
      </c>
      <c r="R14" s="260">
        <v>0</v>
      </c>
      <c r="S14" s="260">
        <v>0</v>
      </c>
      <c r="T14" s="260">
        <v>0</v>
      </c>
      <c r="U14" s="260">
        <v>0</v>
      </c>
      <c r="V14" s="260">
        <v>0</v>
      </c>
      <c r="W14" s="260">
        <v>0</v>
      </c>
      <c r="X14" s="260">
        <v>0</v>
      </c>
      <c r="Y14" s="260">
        <v>0</v>
      </c>
      <c r="Z14" s="260">
        <v>0</v>
      </c>
      <c r="AA14" s="260">
        <v>0</v>
      </c>
      <c r="AB14" s="260">
        <v>0</v>
      </c>
      <c r="AC14" s="260">
        <v>0</v>
      </c>
      <c r="AD14" s="260">
        <v>0</v>
      </c>
      <c r="AE14" s="260">
        <v>0</v>
      </c>
      <c r="AF14" s="260">
        <v>0</v>
      </c>
      <c r="AG14" s="260">
        <v>0</v>
      </c>
      <c r="AH14" s="260">
        <v>0</v>
      </c>
      <c r="AI14" s="260">
        <v>0</v>
      </c>
      <c r="AJ14" s="260">
        <v>0</v>
      </c>
      <c r="AK14" s="260">
        <v>0</v>
      </c>
      <c r="AL14" s="260">
        <v>0</v>
      </c>
      <c r="AM14" s="260">
        <v>0</v>
      </c>
      <c r="AN14" s="260">
        <v>0</v>
      </c>
      <c r="AO14" s="260">
        <v>0</v>
      </c>
      <c r="AP14" s="260">
        <v>0</v>
      </c>
      <c r="AQ14" s="260">
        <v>0</v>
      </c>
      <c r="AR14" s="260">
        <v>0</v>
      </c>
      <c r="AS14" s="260">
        <v>0</v>
      </c>
      <c r="AT14" s="260">
        <v>0</v>
      </c>
      <c r="AU14" s="260">
        <v>0</v>
      </c>
      <c r="AV14" s="260">
        <v>0</v>
      </c>
      <c r="AW14" s="260">
        <v>0</v>
      </c>
      <c r="AX14" s="260">
        <v>0</v>
      </c>
      <c r="AY14" s="260">
        <v>0</v>
      </c>
      <c r="AZ14" s="260">
        <v>0</v>
      </c>
      <c r="BA14" s="260">
        <v>0</v>
      </c>
      <c r="BB14" s="260">
        <v>0</v>
      </c>
      <c r="BC14" s="260">
        <v>0</v>
      </c>
      <c r="BD14" s="260">
        <v>0</v>
      </c>
      <c r="BE14" s="260">
        <v>0</v>
      </c>
      <c r="BF14" s="260">
        <v>0</v>
      </c>
      <c r="BG14" s="260">
        <v>0</v>
      </c>
      <c r="BH14" s="260">
        <v>0</v>
      </c>
      <c r="BI14" s="260">
        <v>0</v>
      </c>
      <c r="BJ14" s="260">
        <v>0</v>
      </c>
      <c r="BK14" s="260">
        <v>0</v>
      </c>
      <c r="BL14" s="260">
        <v>0</v>
      </c>
      <c r="BM14" s="260">
        <v>0</v>
      </c>
      <c r="BN14" s="260">
        <v>0</v>
      </c>
      <c r="BO14" s="260">
        <v>0</v>
      </c>
      <c r="BP14" s="260">
        <v>0</v>
      </c>
      <c r="BQ14" s="260">
        <v>0</v>
      </c>
      <c r="BR14" s="260">
        <v>0</v>
      </c>
      <c r="BS14" s="260">
        <v>0</v>
      </c>
      <c r="BT14" s="260">
        <v>0</v>
      </c>
      <c r="BU14" s="260">
        <v>0</v>
      </c>
      <c r="BV14" s="260">
        <v>0</v>
      </c>
      <c r="BW14" s="260">
        <v>0</v>
      </c>
      <c r="BX14" s="260">
        <v>0</v>
      </c>
      <c r="BY14" s="260">
        <v>0</v>
      </c>
      <c r="BZ14" s="260">
        <v>0</v>
      </c>
      <c r="CA14" s="260">
        <v>0</v>
      </c>
      <c r="CB14" s="260">
        <v>0</v>
      </c>
      <c r="CC14" s="260">
        <v>0</v>
      </c>
      <c r="CD14" s="260">
        <v>0</v>
      </c>
      <c r="CE14" s="260">
        <v>0</v>
      </c>
      <c r="CF14" s="260">
        <v>0</v>
      </c>
      <c r="CG14" s="260">
        <v>0</v>
      </c>
      <c r="CH14" s="260">
        <v>0</v>
      </c>
    </row>
    <row r="15" spans="1:86" x14ac:dyDescent="0.25">
      <c r="A15" s="170">
        <v>1</v>
      </c>
      <c r="B15" s="170">
        <v>14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60">
        <v>0</v>
      </c>
      <c r="J15" s="260">
        <v>0</v>
      </c>
      <c r="K15" s="260">
        <v>0</v>
      </c>
      <c r="L15" s="260">
        <v>0</v>
      </c>
      <c r="M15" s="260">
        <v>0</v>
      </c>
      <c r="N15" s="260">
        <v>0</v>
      </c>
      <c r="O15" s="260">
        <v>0</v>
      </c>
      <c r="P15" s="260">
        <v>0</v>
      </c>
      <c r="Q15" s="260">
        <v>0</v>
      </c>
      <c r="R15" s="260">
        <v>0</v>
      </c>
      <c r="S15" s="260">
        <v>0</v>
      </c>
      <c r="T15" s="260">
        <v>0</v>
      </c>
      <c r="U15" s="260">
        <v>0</v>
      </c>
      <c r="V15" s="260">
        <v>0</v>
      </c>
      <c r="W15" s="260">
        <v>0</v>
      </c>
      <c r="X15" s="260">
        <v>0</v>
      </c>
      <c r="Y15" s="260">
        <v>0</v>
      </c>
      <c r="Z15" s="260">
        <v>0</v>
      </c>
      <c r="AA15" s="260">
        <v>0</v>
      </c>
      <c r="AB15" s="260">
        <v>0</v>
      </c>
      <c r="AC15" s="260">
        <v>0</v>
      </c>
      <c r="AD15" s="260">
        <v>0</v>
      </c>
      <c r="AE15" s="260">
        <v>0</v>
      </c>
      <c r="AF15" s="260">
        <v>0</v>
      </c>
      <c r="AG15" s="260">
        <v>0</v>
      </c>
      <c r="AH15" s="260">
        <v>0</v>
      </c>
      <c r="AI15" s="260">
        <v>0</v>
      </c>
      <c r="AJ15" s="260">
        <v>0</v>
      </c>
      <c r="AK15" s="260">
        <v>0</v>
      </c>
      <c r="AL15" s="260">
        <v>0</v>
      </c>
      <c r="AM15" s="260">
        <v>0</v>
      </c>
      <c r="AN15" s="260">
        <v>0</v>
      </c>
      <c r="AO15" s="260">
        <v>0</v>
      </c>
      <c r="AP15" s="260">
        <v>0</v>
      </c>
      <c r="AQ15" s="260">
        <v>0</v>
      </c>
      <c r="AR15" s="260">
        <v>0</v>
      </c>
      <c r="AS15" s="260">
        <v>0</v>
      </c>
      <c r="AT15" s="260">
        <v>0</v>
      </c>
      <c r="AU15" s="260">
        <v>0</v>
      </c>
      <c r="AV15" s="260">
        <v>0</v>
      </c>
      <c r="AW15" s="260">
        <v>0</v>
      </c>
      <c r="AX15" s="260">
        <v>0</v>
      </c>
      <c r="AY15" s="260">
        <v>0</v>
      </c>
      <c r="AZ15" s="260">
        <v>0</v>
      </c>
      <c r="BA15" s="260">
        <v>0</v>
      </c>
      <c r="BB15" s="260">
        <v>0</v>
      </c>
      <c r="BC15" s="260">
        <v>0</v>
      </c>
      <c r="BD15" s="260">
        <v>0</v>
      </c>
      <c r="BE15" s="260">
        <v>0</v>
      </c>
      <c r="BF15" s="260">
        <v>0</v>
      </c>
      <c r="BG15" s="260">
        <v>0</v>
      </c>
      <c r="BH15" s="260">
        <v>0</v>
      </c>
      <c r="BI15" s="260">
        <v>0</v>
      </c>
      <c r="BJ15" s="260">
        <v>0</v>
      </c>
      <c r="BK15" s="260">
        <v>0</v>
      </c>
      <c r="BL15" s="260">
        <v>0</v>
      </c>
      <c r="BM15" s="260">
        <v>0</v>
      </c>
      <c r="BN15" s="260">
        <v>0</v>
      </c>
      <c r="BO15" s="260">
        <v>0</v>
      </c>
      <c r="BP15" s="260">
        <v>0</v>
      </c>
      <c r="BQ15" s="260">
        <v>0</v>
      </c>
      <c r="BR15" s="260">
        <v>0</v>
      </c>
      <c r="BS15" s="260">
        <v>0</v>
      </c>
      <c r="BT15" s="260">
        <v>0</v>
      </c>
      <c r="BU15" s="260">
        <v>0</v>
      </c>
      <c r="BV15" s="260">
        <v>0</v>
      </c>
      <c r="BW15" s="260">
        <v>0</v>
      </c>
      <c r="BX15" s="260">
        <v>0</v>
      </c>
      <c r="BY15" s="260">
        <v>0</v>
      </c>
      <c r="BZ15" s="260">
        <v>0</v>
      </c>
      <c r="CA15" s="260">
        <v>0</v>
      </c>
      <c r="CB15" s="260">
        <v>0</v>
      </c>
      <c r="CC15" s="260">
        <v>0</v>
      </c>
      <c r="CD15" s="260">
        <v>0</v>
      </c>
      <c r="CE15" s="260">
        <v>0</v>
      </c>
      <c r="CF15" s="260">
        <v>0</v>
      </c>
      <c r="CG15" s="260">
        <v>0</v>
      </c>
      <c r="CH15" s="260">
        <v>0</v>
      </c>
    </row>
    <row r="16" spans="1:86" x14ac:dyDescent="0.25">
      <c r="A16" s="170">
        <v>1</v>
      </c>
      <c r="B16" s="170">
        <v>15</v>
      </c>
      <c r="C16" s="259">
        <v>0</v>
      </c>
      <c r="D16" s="259">
        <v>0</v>
      </c>
      <c r="E16" s="259">
        <v>0</v>
      </c>
      <c r="F16" s="259">
        <v>0</v>
      </c>
      <c r="G16" s="259">
        <v>0</v>
      </c>
      <c r="H16" s="259">
        <v>0</v>
      </c>
      <c r="I16" s="260">
        <v>0</v>
      </c>
      <c r="J16" s="260">
        <v>0</v>
      </c>
      <c r="K16" s="260">
        <v>0</v>
      </c>
      <c r="L16" s="260">
        <v>0</v>
      </c>
      <c r="M16" s="260">
        <v>0</v>
      </c>
      <c r="N16" s="260">
        <v>0</v>
      </c>
      <c r="O16" s="260">
        <v>0</v>
      </c>
      <c r="P16" s="260">
        <v>0</v>
      </c>
      <c r="Q16" s="260">
        <v>0</v>
      </c>
      <c r="R16" s="260">
        <v>0</v>
      </c>
      <c r="S16" s="260">
        <v>0</v>
      </c>
      <c r="T16" s="260">
        <v>0</v>
      </c>
      <c r="U16" s="260">
        <v>0</v>
      </c>
      <c r="V16" s="260">
        <v>0</v>
      </c>
      <c r="W16" s="260">
        <v>0</v>
      </c>
      <c r="X16" s="260">
        <v>0</v>
      </c>
      <c r="Y16" s="260">
        <v>0</v>
      </c>
      <c r="Z16" s="260">
        <v>0</v>
      </c>
      <c r="AA16" s="260">
        <v>0</v>
      </c>
      <c r="AB16" s="260">
        <v>0</v>
      </c>
      <c r="AC16" s="260">
        <v>0</v>
      </c>
      <c r="AD16" s="260">
        <v>0</v>
      </c>
      <c r="AE16" s="260">
        <v>0</v>
      </c>
      <c r="AF16" s="260">
        <v>0</v>
      </c>
      <c r="AG16" s="260">
        <v>0</v>
      </c>
      <c r="AH16" s="260">
        <v>0</v>
      </c>
      <c r="AI16" s="260">
        <v>0</v>
      </c>
      <c r="AJ16" s="260">
        <v>0</v>
      </c>
      <c r="AK16" s="260">
        <v>0</v>
      </c>
      <c r="AL16" s="260">
        <v>0</v>
      </c>
      <c r="AM16" s="260">
        <v>0</v>
      </c>
      <c r="AN16" s="260">
        <v>0</v>
      </c>
      <c r="AO16" s="260">
        <v>0</v>
      </c>
      <c r="AP16" s="260">
        <v>0</v>
      </c>
      <c r="AQ16" s="260">
        <v>0</v>
      </c>
      <c r="AR16" s="260">
        <v>0</v>
      </c>
      <c r="AS16" s="260">
        <v>0</v>
      </c>
      <c r="AT16" s="260">
        <v>0</v>
      </c>
      <c r="AU16" s="260">
        <v>0</v>
      </c>
      <c r="AV16" s="260">
        <v>0</v>
      </c>
      <c r="AW16" s="260">
        <v>0</v>
      </c>
      <c r="AX16" s="260">
        <v>0</v>
      </c>
      <c r="AY16" s="260">
        <v>0</v>
      </c>
      <c r="AZ16" s="260">
        <v>0</v>
      </c>
      <c r="BA16" s="260">
        <v>0</v>
      </c>
      <c r="BB16" s="260">
        <v>0</v>
      </c>
      <c r="BC16" s="260">
        <v>0</v>
      </c>
      <c r="BD16" s="260">
        <v>0</v>
      </c>
      <c r="BE16" s="260">
        <v>0</v>
      </c>
      <c r="BF16" s="260">
        <v>0</v>
      </c>
      <c r="BG16" s="260">
        <v>0</v>
      </c>
      <c r="BH16" s="260">
        <v>0</v>
      </c>
      <c r="BI16" s="260">
        <v>0</v>
      </c>
      <c r="BJ16" s="260">
        <v>0</v>
      </c>
      <c r="BK16" s="260">
        <v>0</v>
      </c>
      <c r="BL16" s="260">
        <v>0</v>
      </c>
      <c r="BM16" s="260">
        <v>0</v>
      </c>
      <c r="BN16" s="260">
        <v>0</v>
      </c>
      <c r="BO16" s="260">
        <v>0</v>
      </c>
      <c r="BP16" s="260">
        <v>0</v>
      </c>
      <c r="BQ16" s="260">
        <v>0</v>
      </c>
      <c r="BR16" s="260">
        <v>0</v>
      </c>
      <c r="BS16" s="260">
        <v>0</v>
      </c>
      <c r="BT16" s="260">
        <v>0</v>
      </c>
      <c r="BU16" s="260">
        <v>0</v>
      </c>
      <c r="BV16" s="260">
        <v>0</v>
      </c>
      <c r="BW16" s="260">
        <v>0</v>
      </c>
      <c r="BX16" s="260">
        <v>0</v>
      </c>
      <c r="BY16" s="260">
        <v>0</v>
      </c>
      <c r="BZ16" s="260">
        <v>0</v>
      </c>
      <c r="CA16" s="260">
        <v>0</v>
      </c>
      <c r="CB16" s="260">
        <v>0</v>
      </c>
      <c r="CC16" s="260">
        <v>0</v>
      </c>
      <c r="CD16" s="260">
        <v>0</v>
      </c>
      <c r="CE16" s="260">
        <v>0</v>
      </c>
      <c r="CF16" s="260">
        <v>0</v>
      </c>
      <c r="CG16" s="260">
        <v>0</v>
      </c>
      <c r="CH16" s="260">
        <v>0</v>
      </c>
    </row>
    <row r="17" spans="1:86" x14ac:dyDescent="0.25">
      <c r="A17" s="170">
        <v>1</v>
      </c>
      <c r="B17" s="170">
        <v>16</v>
      </c>
      <c r="C17" s="259">
        <v>0</v>
      </c>
      <c r="D17" s="259">
        <v>0</v>
      </c>
      <c r="E17" s="259">
        <v>0</v>
      </c>
      <c r="F17" s="259">
        <v>0</v>
      </c>
      <c r="G17" s="259">
        <v>0</v>
      </c>
      <c r="H17" s="259">
        <v>0</v>
      </c>
      <c r="I17" s="260">
        <v>0</v>
      </c>
      <c r="J17" s="260">
        <v>0</v>
      </c>
      <c r="K17" s="260">
        <v>0</v>
      </c>
      <c r="L17" s="260">
        <v>0</v>
      </c>
      <c r="M17" s="260">
        <v>0</v>
      </c>
      <c r="N17" s="260">
        <v>0</v>
      </c>
      <c r="O17" s="260">
        <v>0</v>
      </c>
      <c r="P17" s="260">
        <v>0</v>
      </c>
      <c r="Q17" s="260">
        <v>0</v>
      </c>
      <c r="R17" s="260">
        <v>0</v>
      </c>
      <c r="S17" s="260">
        <v>0</v>
      </c>
      <c r="T17" s="260">
        <v>0</v>
      </c>
      <c r="U17" s="260">
        <v>0</v>
      </c>
      <c r="V17" s="260">
        <v>0</v>
      </c>
      <c r="W17" s="260">
        <v>0</v>
      </c>
      <c r="X17" s="260">
        <v>0</v>
      </c>
      <c r="Y17" s="260">
        <v>0</v>
      </c>
      <c r="Z17" s="260">
        <v>0</v>
      </c>
      <c r="AA17" s="260">
        <v>0</v>
      </c>
      <c r="AB17" s="260">
        <v>0</v>
      </c>
      <c r="AC17" s="260">
        <v>0</v>
      </c>
      <c r="AD17" s="260">
        <v>0</v>
      </c>
      <c r="AE17" s="260">
        <v>0</v>
      </c>
      <c r="AF17" s="260">
        <v>0</v>
      </c>
      <c r="AG17" s="260">
        <v>0</v>
      </c>
      <c r="AH17" s="260">
        <v>0</v>
      </c>
      <c r="AI17" s="260">
        <v>0</v>
      </c>
      <c r="AJ17" s="260">
        <v>0</v>
      </c>
      <c r="AK17" s="260">
        <v>0</v>
      </c>
      <c r="AL17" s="260">
        <v>0</v>
      </c>
      <c r="AM17" s="260">
        <v>0</v>
      </c>
      <c r="AN17" s="260">
        <v>0</v>
      </c>
      <c r="AO17" s="260">
        <v>0</v>
      </c>
      <c r="AP17" s="260">
        <v>0</v>
      </c>
      <c r="AQ17" s="260">
        <v>0</v>
      </c>
      <c r="AR17" s="260">
        <v>0</v>
      </c>
      <c r="AS17" s="260">
        <v>0</v>
      </c>
      <c r="AT17" s="260">
        <v>0</v>
      </c>
      <c r="AU17" s="260">
        <v>0</v>
      </c>
      <c r="AV17" s="260">
        <v>0</v>
      </c>
      <c r="AW17" s="260">
        <v>0</v>
      </c>
      <c r="AX17" s="260">
        <v>0</v>
      </c>
      <c r="AY17" s="260">
        <v>0</v>
      </c>
      <c r="AZ17" s="260">
        <v>0</v>
      </c>
      <c r="BA17" s="260">
        <v>0</v>
      </c>
      <c r="BB17" s="260">
        <v>0</v>
      </c>
      <c r="BC17" s="260">
        <v>0</v>
      </c>
      <c r="BD17" s="260">
        <v>0</v>
      </c>
      <c r="BE17" s="260">
        <v>0</v>
      </c>
      <c r="BF17" s="260">
        <v>0</v>
      </c>
      <c r="BG17" s="260">
        <v>0</v>
      </c>
      <c r="BH17" s="260">
        <v>0</v>
      </c>
      <c r="BI17" s="260">
        <v>0</v>
      </c>
      <c r="BJ17" s="260">
        <v>0</v>
      </c>
      <c r="BK17" s="260">
        <v>0</v>
      </c>
      <c r="BL17" s="260">
        <v>0</v>
      </c>
      <c r="BM17" s="260">
        <v>0</v>
      </c>
      <c r="BN17" s="260">
        <v>0</v>
      </c>
      <c r="BO17" s="260">
        <v>0</v>
      </c>
      <c r="BP17" s="260">
        <v>0</v>
      </c>
      <c r="BQ17" s="260">
        <v>0</v>
      </c>
      <c r="BR17" s="260">
        <v>0</v>
      </c>
      <c r="BS17" s="260">
        <v>0</v>
      </c>
      <c r="BT17" s="260">
        <v>0</v>
      </c>
      <c r="BU17" s="260">
        <v>0</v>
      </c>
      <c r="BV17" s="260">
        <v>0</v>
      </c>
      <c r="BW17" s="260">
        <v>0</v>
      </c>
      <c r="BX17" s="260">
        <v>0</v>
      </c>
      <c r="BY17" s="260">
        <v>0</v>
      </c>
      <c r="BZ17" s="260">
        <v>0</v>
      </c>
      <c r="CA17" s="260">
        <v>0</v>
      </c>
      <c r="CB17" s="260">
        <v>0</v>
      </c>
      <c r="CC17" s="260">
        <v>0</v>
      </c>
      <c r="CD17" s="260">
        <v>0</v>
      </c>
      <c r="CE17" s="260">
        <v>0</v>
      </c>
      <c r="CF17" s="260">
        <v>0</v>
      </c>
      <c r="CG17" s="260">
        <v>0</v>
      </c>
      <c r="CH17" s="260">
        <v>0</v>
      </c>
    </row>
    <row r="18" spans="1:86" x14ac:dyDescent="0.25">
      <c r="A18" s="170">
        <v>1</v>
      </c>
      <c r="B18" s="170">
        <v>17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60">
        <v>0</v>
      </c>
      <c r="J18" s="260">
        <v>0</v>
      </c>
      <c r="K18" s="260">
        <v>0</v>
      </c>
      <c r="L18" s="260">
        <v>0</v>
      </c>
      <c r="M18" s="260">
        <v>0</v>
      </c>
      <c r="N18" s="260">
        <v>0</v>
      </c>
      <c r="O18" s="260">
        <v>0</v>
      </c>
      <c r="P18" s="260">
        <v>0</v>
      </c>
      <c r="Q18" s="260">
        <v>0</v>
      </c>
      <c r="R18" s="260">
        <v>0</v>
      </c>
      <c r="S18" s="260">
        <v>0</v>
      </c>
      <c r="T18" s="260">
        <v>0</v>
      </c>
      <c r="U18" s="260">
        <v>0</v>
      </c>
      <c r="V18" s="260">
        <v>0</v>
      </c>
      <c r="W18" s="260">
        <v>0</v>
      </c>
      <c r="X18" s="260">
        <v>0</v>
      </c>
      <c r="Y18" s="260">
        <v>0</v>
      </c>
      <c r="Z18" s="260">
        <v>0</v>
      </c>
      <c r="AA18" s="260">
        <v>0</v>
      </c>
      <c r="AB18" s="260">
        <v>0</v>
      </c>
      <c r="AC18" s="260">
        <v>0</v>
      </c>
      <c r="AD18" s="260">
        <v>0</v>
      </c>
      <c r="AE18" s="260">
        <v>0</v>
      </c>
      <c r="AF18" s="260">
        <v>0</v>
      </c>
      <c r="AG18" s="260">
        <v>0</v>
      </c>
      <c r="AH18" s="260">
        <v>0</v>
      </c>
      <c r="AI18" s="260">
        <v>0</v>
      </c>
      <c r="AJ18" s="260">
        <v>0</v>
      </c>
      <c r="AK18" s="260">
        <v>0</v>
      </c>
      <c r="AL18" s="260">
        <v>0</v>
      </c>
      <c r="AM18" s="260">
        <v>0</v>
      </c>
      <c r="AN18" s="260">
        <v>0</v>
      </c>
      <c r="AO18" s="260">
        <v>0</v>
      </c>
      <c r="AP18" s="260">
        <v>0</v>
      </c>
      <c r="AQ18" s="260">
        <v>0</v>
      </c>
      <c r="AR18" s="260">
        <v>0</v>
      </c>
      <c r="AS18" s="260">
        <v>0</v>
      </c>
      <c r="AT18" s="260">
        <v>0</v>
      </c>
      <c r="AU18" s="260">
        <v>0</v>
      </c>
      <c r="AV18" s="260">
        <v>0</v>
      </c>
      <c r="AW18" s="260">
        <v>0</v>
      </c>
      <c r="AX18" s="260">
        <v>0</v>
      </c>
      <c r="AY18" s="260">
        <v>0</v>
      </c>
      <c r="AZ18" s="260">
        <v>0</v>
      </c>
      <c r="BA18" s="260">
        <v>0</v>
      </c>
      <c r="BB18" s="260">
        <v>0</v>
      </c>
      <c r="BC18" s="260">
        <v>0</v>
      </c>
      <c r="BD18" s="260">
        <v>0</v>
      </c>
      <c r="BE18" s="260">
        <v>0</v>
      </c>
      <c r="BF18" s="260">
        <v>0</v>
      </c>
      <c r="BG18" s="260">
        <v>0</v>
      </c>
      <c r="BH18" s="260">
        <v>0</v>
      </c>
      <c r="BI18" s="260">
        <v>0</v>
      </c>
      <c r="BJ18" s="260">
        <v>0</v>
      </c>
      <c r="BK18" s="260">
        <v>0</v>
      </c>
      <c r="BL18" s="260">
        <v>0</v>
      </c>
      <c r="BM18" s="260">
        <v>0</v>
      </c>
      <c r="BN18" s="260">
        <v>0</v>
      </c>
      <c r="BO18" s="260">
        <v>0</v>
      </c>
      <c r="BP18" s="260">
        <v>0</v>
      </c>
      <c r="BQ18" s="260">
        <v>0</v>
      </c>
      <c r="BR18" s="260">
        <v>0</v>
      </c>
      <c r="BS18" s="260">
        <v>0</v>
      </c>
      <c r="BT18" s="260">
        <v>0</v>
      </c>
      <c r="BU18" s="260">
        <v>0</v>
      </c>
      <c r="BV18" s="260">
        <v>0</v>
      </c>
      <c r="BW18" s="260">
        <v>0</v>
      </c>
      <c r="BX18" s="260">
        <v>0</v>
      </c>
      <c r="BY18" s="260">
        <v>0</v>
      </c>
      <c r="BZ18" s="260">
        <v>0</v>
      </c>
      <c r="CA18" s="260">
        <v>0</v>
      </c>
      <c r="CB18" s="260">
        <v>0</v>
      </c>
      <c r="CC18" s="260">
        <v>0</v>
      </c>
      <c r="CD18" s="260">
        <v>0</v>
      </c>
      <c r="CE18" s="260">
        <v>0</v>
      </c>
      <c r="CF18" s="260">
        <v>0</v>
      </c>
      <c r="CG18" s="260">
        <v>0</v>
      </c>
      <c r="CH18" s="260">
        <v>0</v>
      </c>
    </row>
    <row r="19" spans="1:86" x14ac:dyDescent="0.25">
      <c r="A19" s="170">
        <v>1</v>
      </c>
      <c r="B19" s="170">
        <v>18</v>
      </c>
      <c r="C19" s="259">
        <v>0</v>
      </c>
      <c r="D19" s="259">
        <v>0</v>
      </c>
      <c r="E19" s="259">
        <v>0</v>
      </c>
      <c r="F19" s="259">
        <v>0</v>
      </c>
      <c r="G19" s="259">
        <v>0</v>
      </c>
      <c r="H19" s="259">
        <v>0</v>
      </c>
      <c r="I19" s="260">
        <v>0</v>
      </c>
      <c r="J19" s="260">
        <v>0</v>
      </c>
      <c r="K19" s="260">
        <v>0</v>
      </c>
      <c r="L19" s="260">
        <v>0</v>
      </c>
      <c r="M19" s="260">
        <v>0</v>
      </c>
      <c r="N19" s="260">
        <v>0</v>
      </c>
      <c r="O19" s="260">
        <v>0</v>
      </c>
      <c r="P19" s="260">
        <v>0</v>
      </c>
      <c r="Q19" s="260">
        <v>0</v>
      </c>
      <c r="R19" s="260">
        <v>0</v>
      </c>
      <c r="S19" s="260">
        <v>0</v>
      </c>
      <c r="T19" s="260">
        <v>0</v>
      </c>
      <c r="U19" s="260">
        <v>0</v>
      </c>
      <c r="V19" s="260">
        <v>0</v>
      </c>
      <c r="W19" s="260">
        <v>0</v>
      </c>
      <c r="X19" s="260">
        <v>0</v>
      </c>
      <c r="Y19" s="260">
        <v>0</v>
      </c>
      <c r="Z19" s="260">
        <v>0</v>
      </c>
      <c r="AA19" s="260">
        <v>0</v>
      </c>
      <c r="AB19" s="260">
        <v>0</v>
      </c>
      <c r="AC19" s="260">
        <v>0</v>
      </c>
      <c r="AD19" s="260">
        <v>0</v>
      </c>
      <c r="AE19" s="260">
        <v>0</v>
      </c>
      <c r="AF19" s="260">
        <v>0</v>
      </c>
      <c r="AG19" s="260">
        <v>0</v>
      </c>
      <c r="AH19" s="260">
        <v>0</v>
      </c>
      <c r="AI19" s="260">
        <v>0</v>
      </c>
      <c r="AJ19" s="260">
        <v>0</v>
      </c>
      <c r="AK19" s="260">
        <v>0</v>
      </c>
      <c r="AL19" s="260">
        <v>0</v>
      </c>
      <c r="AM19" s="260">
        <v>0</v>
      </c>
      <c r="AN19" s="260">
        <v>0</v>
      </c>
      <c r="AO19" s="260">
        <v>0</v>
      </c>
      <c r="AP19" s="260">
        <v>0</v>
      </c>
      <c r="AQ19" s="260">
        <v>0</v>
      </c>
      <c r="AR19" s="260">
        <v>0</v>
      </c>
      <c r="AS19" s="260">
        <v>0</v>
      </c>
      <c r="AT19" s="260">
        <v>0</v>
      </c>
      <c r="AU19" s="260">
        <v>0</v>
      </c>
      <c r="AV19" s="260">
        <v>0</v>
      </c>
      <c r="AW19" s="260">
        <v>0</v>
      </c>
      <c r="AX19" s="260">
        <v>0</v>
      </c>
      <c r="AY19" s="260">
        <v>0</v>
      </c>
      <c r="AZ19" s="260">
        <v>0</v>
      </c>
      <c r="BA19" s="260">
        <v>0</v>
      </c>
      <c r="BB19" s="260">
        <v>0</v>
      </c>
      <c r="BC19" s="260">
        <v>0</v>
      </c>
      <c r="BD19" s="260">
        <v>0</v>
      </c>
      <c r="BE19" s="260">
        <v>0</v>
      </c>
      <c r="BF19" s="260">
        <v>0</v>
      </c>
      <c r="BG19" s="260">
        <v>0</v>
      </c>
      <c r="BH19" s="260">
        <v>0</v>
      </c>
      <c r="BI19" s="260">
        <v>0</v>
      </c>
      <c r="BJ19" s="260">
        <v>0</v>
      </c>
      <c r="BK19" s="260">
        <v>0</v>
      </c>
      <c r="BL19" s="260">
        <v>0</v>
      </c>
      <c r="BM19" s="260">
        <v>0</v>
      </c>
      <c r="BN19" s="260">
        <v>0</v>
      </c>
      <c r="BO19" s="260">
        <v>0</v>
      </c>
      <c r="BP19" s="260">
        <v>0</v>
      </c>
      <c r="BQ19" s="260">
        <v>0</v>
      </c>
      <c r="BR19" s="260">
        <v>0</v>
      </c>
      <c r="BS19" s="260">
        <v>0</v>
      </c>
      <c r="BT19" s="260">
        <v>0</v>
      </c>
      <c r="BU19" s="260">
        <v>0</v>
      </c>
      <c r="BV19" s="260">
        <v>0</v>
      </c>
      <c r="BW19" s="260">
        <v>0</v>
      </c>
      <c r="BX19" s="260">
        <v>0</v>
      </c>
      <c r="BY19" s="260">
        <v>0</v>
      </c>
      <c r="BZ19" s="260">
        <v>0</v>
      </c>
      <c r="CA19" s="260">
        <v>0</v>
      </c>
      <c r="CB19" s="260">
        <v>0</v>
      </c>
      <c r="CC19" s="260">
        <v>0</v>
      </c>
      <c r="CD19" s="260">
        <v>0</v>
      </c>
      <c r="CE19" s="260">
        <v>0</v>
      </c>
      <c r="CF19" s="260">
        <v>0</v>
      </c>
      <c r="CG19" s="260">
        <v>0</v>
      </c>
      <c r="CH19" s="260">
        <v>0</v>
      </c>
    </row>
    <row r="20" spans="1:86" x14ac:dyDescent="0.25">
      <c r="A20" s="170">
        <v>1</v>
      </c>
      <c r="B20" s="170">
        <v>19</v>
      </c>
      <c r="C20" s="259">
        <v>0</v>
      </c>
      <c r="D20" s="259">
        <v>0</v>
      </c>
      <c r="E20" s="259">
        <v>0</v>
      </c>
      <c r="F20" s="259">
        <v>0</v>
      </c>
      <c r="G20" s="259">
        <v>0</v>
      </c>
      <c r="H20" s="259">
        <v>0</v>
      </c>
      <c r="I20" s="260">
        <v>0</v>
      </c>
      <c r="J20" s="260">
        <v>0</v>
      </c>
      <c r="K20" s="260">
        <v>0</v>
      </c>
      <c r="L20" s="260">
        <v>0</v>
      </c>
      <c r="M20" s="260">
        <v>0</v>
      </c>
      <c r="N20" s="260">
        <v>0</v>
      </c>
      <c r="O20" s="260">
        <v>0</v>
      </c>
      <c r="P20" s="260">
        <v>0</v>
      </c>
      <c r="Q20" s="260">
        <v>0</v>
      </c>
      <c r="R20" s="260">
        <v>0</v>
      </c>
      <c r="S20" s="260">
        <v>0</v>
      </c>
      <c r="T20" s="260">
        <v>0</v>
      </c>
      <c r="U20" s="260">
        <v>0</v>
      </c>
      <c r="V20" s="260">
        <v>0</v>
      </c>
      <c r="W20" s="260">
        <v>0</v>
      </c>
      <c r="X20" s="260">
        <v>0</v>
      </c>
      <c r="Y20" s="260">
        <v>0</v>
      </c>
      <c r="Z20" s="260">
        <v>0</v>
      </c>
      <c r="AA20" s="260">
        <v>0</v>
      </c>
      <c r="AB20" s="260">
        <v>0</v>
      </c>
      <c r="AC20" s="260">
        <v>0</v>
      </c>
      <c r="AD20" s="260">
        <v>0</v>
      </c>
      <c r="AE20" s="260">
        <v>0</v>
      </c>
      <c r="AF20" s="260">
        <v>0</v>
      </c>
      <c r="AG20" s="260">
        <v>0</v>
      </c>
      <c r="AH20" s="260">
        <v>0</v>
      </c>
      <c r="AI20" s="260">
        <v>0</v>
      </c>
      <c r="AJ20" s="260">
        <v>0</v>
      </c>
      <c r="AK20" s="260">
        <v>0</v>
      </c>
      <c r="AL20" s="260">
        <v>0</v>
      </c>
      <c r="AM20" s="260">
        <v>0</v>
      </c>
      <c r="AN20" s="260">
        <v>0</v>
      </c>
      <c r="AO20" s="260">
        <v>0</v>
      </c>
      <c r="AP20" s="260">
        <v>0</v>
      </c>
      <c r="AQ20" s="260">
        <v>0</v>
      </c>
      <c r="AR20" s="260">
        <v>0</v>
      </c>
      <c r="AS20" s="260">
        <v>0</v>
      </c>
      <c r="AT20" s="260">
        <v>0</v>
      </c>
      <c r="AU20" s="260">
        <v>0</v>
      </c>
      <c r="AV20" s="260">
        <v>0</v>
      </c>
      <c r="AW20" s="260">
        <v>0</v>
      </c>
      <c r="AX20" s="260">
        <v>0</v>
      </c>
      <c r="AY20" s="260">
        <v>0</v>
      </c>
      <c r="AZ20" s="260">
        <v>0</v>
      </c>
      <c r="BA20" s="260">
        <v>0</v>
      </c>
      <c r="BB20" s="260">
        <v>0</v>
      </c>
      <c r="BC20" s="260">
        <v>0</v>
      </c>
      <c r="BD20" s="260">
        <v>0</v>
      </c>
      <c r="BE20" s="260">
        <v>0</v>
      </c>
      <c r="BF20" s="260">
        <v>0</v>
      </c>
      <c r="BG20" s="260">
        <v>0</v>
      </c>
      <c r="BH20" s="260">
        <v>0</v>
      </c>
      <c r="BI20" s="260">
        <v>0</v>
      </c>
      <c r="BJ20" s="260">
        <v>0</v>
      </c>
      <c r="BK20" s="260">
        <v>0</v>
      </c>
      <c r="BL20" s="260">
        <v>0</v>
      </c>
      <c r="BM20" s="260">
        <v>0</v>
      </c>
      <c r="BN20" s="260">
        <v>0</v>
      </c>
      <c r="BO20" s="260">
        <v>0</v>
      </c>
      <c r="BP20" s="260">
        <v>0</v>
      </c>
      <c r="BQ20" s="260">
        <v>0</v>
      </c>
      <c r="BR20" s="260">
        <v>0</v>
      </c>
      <c r="BS20" s="260">
        <v>0</v>
      </c>
      <c r="BT20" s="260">
        <v>0</v>
      </c>
      <c r="BU20" s="260">
        <v>0</v>
      </c>
      <c r="BV20" s="260">
        <v>0</v>
      </c>
      <c r="BW20" s="260">
        <v>0</v>
      </c>
      <c r="BX20" s="260">
        <v>0</v>
      </c>
      <c r="BY20" s="260">
        <v>0</v>
      </c>
      <c r="BZ20" s="260">
        <v>0</v>
      </c>
      <c r="CA20" s="260">
        <v>0</v>
      </c>
      <c r="CB20" s="260">
        <v>0</v>
      </c>
      <c r="CC20" s="260">
        <v>0</v>
      </c>
      <c r="CD20" s="260">
        <v>0</v>
      </c>
      <c r="CE20" s="260">
        <v>0</v>
      </c>
      <c r="CF20" s="260">
        <v>0</v>
      </c>
      <c r="CG20" s="260">
        <v>0</v>
      </c>
      <c r="CH20" s="260">
        <v>0</v>
      </c>
    </row>
    <row r="21" spans="1:86" x14ac:dyDescent="0.25">
      <c r="A21" s="170">
        <v>1</v>
      </c>
      <c r="B21" s="170">
        <v>20</v>
      </c>
      <c r="C21" s="259">
        <v>36.848045349121094</v>
      </c>
      <c r="D21" s="259">
        <v>36.888374328613281</v>
      </c>
      <c r="E21" s="259">
        <v>36.928062438964844</v>
      </c>
      <c r="F21" s="259">
        <v>36.967128753662109</v>
      </c>
      <c r="G21" s="259">
        <v>37.005577087402344</v>
      </c>
      <c r="H21" s="259">
        <v>37.043422698974609</v>
      </c>
      <c r="I21" s="260">
        <v>36.481456000000001</v>
      </c>
      <c r="J21" s="260">
        <v>36.511282000000001</v>
      </c>
      <c r="K21" s="260">
        <v>36.540785999999997</v>
      </c>
      <c r="L21" s="260">
        <v>36.569991000000002</v>
      </c>
      <c r="M21" s="260">
        <v>36.59892</v>
      </c>
      <c r="N21" s="260">
        <v>36.627592999999997</v>
      </c>
      <c r="O21" s="260">
        <v>36.656030999999999</v>
      </c>
      <c r="P21" s="260">
        <v>36.684255</v>
      </c>
      <c r="Q21" s="260">
        <v>36.712280999999997</v>
      </c>
      <c r="R21" s="260">
        <v>36.740125999999997</v>
      </c>
      <c r="S21" s="260">
        <v>36.767803000000001</v>
      </c>
      <c r="T21" s="260">
        <v>36.795322999999996</v>
      </c>
      <c r="U21" s="260">
        <v>36.822696000000001</v>
      </c>
      <c r="V21" s="260">
        <v>36.849924999999999</v>
      </c>
      <c r="W21" s="260">
        <v>36.877013999999996</v>
      </c>
      <c r="X21" s="260">
        <v>36.903962999999997</v>
      </c>
      <c r="Y21" s="260">
        <v>36.930771</v>
      </c>
      <c r="Z21" s="260">
        <v>36.957439000000001</v>
      </c>
      <c r="AA21" s="260">
        <v>36.983967999999997</v>
      </c>
      <c r="AB21" s="260">
        <v>37.010356999999999</v>
      </c>
      <c r="AC21" s="260">
        <v>37.036605999999999</v>
      </c>
      <c r="AD21" s="260">
        <v>37.062716999999999</v>
      </c>
      <c r="AE21" s="260">
        <v>37.088688999999995</v>
      </c>
      <c r="AF21" s="260">
        <v>37.114522000000001</v>
      </c>
      <c r="AG21" s="260">
        <v>37.140217</v>
      </c>
      <c r="AH21" s="260">
        <v>37.165773999999999</v>
      </c>
      <c r="AI21" s="260">
        <v>37.191193999999996</v>
      </c>
      <c r="AJ21" s="260">
        <v>37.216476</v>
      </c>
      <c r="AK21" s="260">
        <v>37.241620999999995</v>
      </c>
      <c r="AL21" s="260">
        <v>37.266629000000002</v>
      </c>
      <c r="AM21" s="260">
        <v>37.291499999999999</v>
      </c>
      <c r="AN21" s="260">
        <v>37.316235999999996</v>
      </c>
      <c r="AO21" s="260">
        <v>37.340834999999998</v>
      </c>
      <c r="AP21" s="260">
        <v>37.365299</v>
      </c>
      <c r="AQ21" s="260">
        <v>37.389627999999995</v>
      </c>
      <c r="AR21" s="260">
        <v>37.413821999999996</v>
      </c>
      <c r="AS21" s="260">
        <v>37.437880999999997</v>
      </c>
      <c r="AT21" s="260">
        <v>37.461805999999996</v>
      </c>
      <c r="AU21" s="260">
        <v>37.485597999999996</v>
      </c>
      <c r="AV21" s="260">
        <v>37.509254999999996</v>
      </c>
      <c r="AW21" s="260">
        <v>37.532779999999995</v>
      </c>
      <c r="AX21" s="260">
        <v>37.556170999999999</v>
      </c>
      <c r="AY21" s="260">
        <v>37.579429999999995</v>
      </c>
      <c r="AZ21" s="260">
        <v>37.602556999999997</v>
      </c>
      <c r="BA21" s="260">
        <v>37.625552999999996</v>
      </c>
      <c r="BB21" s="260">
        <v>37.648416999999995</v>
      </c>
      <c r="BC21" s="260">
        <v>37.671149</v>
      </c>
      <c r="BD21" s="260">
        <v>37.693751999999996</v>
      </c>
      <c r="BE21" s="260">
        <v>37.716223999999997</v>
      </c>
      <c r="BF21" s="260">
        <v>37.738565999999999</v>
      </c>
      <c r="BG21" s="260">
        <v>37.760778999999999</v>
      </c>
      <c r="BH21" s="260">
        <v>37.782862999999999</v>
      </c>
      <c r="BI21" s="260">
        <v>37.804817999999997</v>
      </c>
      <c r="BJ21" s="260">
        <v>37.826644999999999</v>
      </c>
      <c r="BK21" s="260">
        <v>37.848343999999997</v>
      </c>
      <c r="BL21" s="260">
        <v>37.869915999999996</v>
      </c>
      <c r="BM21" s="260">
        <v>37.891360999999996</v>
      </c>
      <c r="BN21" s="260">
        <v>37.912678999999997</v>
      </c>
      <c r="BO21" s="260">
        <v>37.933870999999996</v>
      </c>
      <c r="BP21" s="260">
        <v>37.954937000000001</v>
      </c>
      <c r="BQ21" s="260">
        <v>37.975878999999999</v>
      </c>
      <c r="BR21" s="260">
        <v>37.996694999999995</v>
      </c>
      <c r="BS21" s="260">
        <v>38.017386999999999</v>
      </c>
      <c r="BT21" s="260">
        <v>38.037954999999997</v>
      </c>
      <c r="BU21" s="260">
        <v>38.058399000000001</v>
      </c>
      <c r="BV21" s="260">
        <v>38.078721000000002</v>
      </c>
      <c r="BW21" s="260">
        <v>38.09892</v>
      </c>
      <c r="BX21" s="260">
        <v>38.118995999999996</v>
      </c>
      <c r="BY21" s="260">
        <v>38.138950999999999</v>
      </c>
      <c r="BZ21" s="260">
        <v>38.158785000000002</v>
      </c>
      <c r="CA21" s="260">
        <v>38.178497999999998</v>
      </c>
      <c r="CB21" s="260">
        <v>38.198090999999998</v>
      </c>
      <c r="CC21" s="260">
        <v>38.217563999999996</v>
      </c>
      <c r="CD21" s="260">
        <v>38.236916999999998</v>
      </c>
      <c r="CE21" s="260">
        <v>38.256152</v>
      </c>
      <c r="CF21" s="260">
        <v>38.275267999999997</v>
      </c>
      <c r="CG21" s="260">
        <v>38.294266</v>
      </c>
      <c r="CH21" s="260">
        <v>38.313147000000001</v>
      </c>
    </row>
    <row r="22" spans="1:86" x14ac:dyDescent="0.25">
      <c r="A22" s="170">
        <v>1</v>
      </c>
      <c r="B22" s="170">
        <v>21</v>
      </c>
      <c r="C22" s="259">
        <v>36.555023193359375</v>
      </c>
      <c r="D22" s="259">
        <v>36.596378326416016</v>
      </c>
      <c r="E22" s="259">
        <v>36.637077331542969</v>
      </c>
      <c r="F22" s="259">
        <v>36.677135467529297</v>
      </c>
      <c r="G22" s="259">
        <v>36.716560363769531</v>
      </c>
      <c r="H22" s="259">
        <v>36.755367279052734</v>
      </c>
      <c r="I22" s="260">
        <v>36.198513999999996</v>
      </c>
      <c r="J22" s="260">
        <v>36.228811</v>
      </c>
      <c r="K22" s="260">
        <v>36.258786000000001</v>
      </c>
      <c r="L22" s="260">
        <v>36.288460999999998</v>
      </c>
      <c r="M22" s="260">
        <v>36.317856999999997</v>
      </c>
      <c r="N22" s="260">
        <v>36.346997000000002</v>
      </c>
      <c r="O22" s="260">
        <v>36.375900000000001</v>
      </c>
      <c r="P22" s="260">
        <v>36.404587999999997</v>
      </c>
      <c r="Q22" s="260">
        <v>36.433076</v>
      </c>
      <c r="R22" s="260">
        <v>36.461382999999998</v>
      </c>
      <c r="S22" s="260">
        <v>36.489519999999999</v>
      </c>
      <c r="T22" s="260">
        <v>36.517499999999998</v>
      </c>
      <c r="U22" s="260">
        <v>36.545330999999997</v>
      </c>
      <c r="V22" s="260">
        <v>36.573017999999998</v>
      </c>
      <c r="W22" s="260">
        <v>36.600563999999999</v>
      </c>
      <c r="X22" s="260">
        <v>36.627967999999996</v>
      </c>
      <c r="Y22" s="260">
        <v>36.655229999999996</v>
      </c>
      <c r="Z22" s="260">
        <v>36.682352000000002</v>
      </c>
      <c r="AA22" s="260">
        <v>36.709333000000001</v>
      </c>
      <c r="AB22" s="260">
        <v>36.736173000000001</v>
      </c>
      <c r="AC22" s="260">
        <v>36.762872000000002</v>
      </c>
      <c r="AD22" s="260">
        <v>36.789431999999998</v>
      </c>
      <c r="AE22" s="260">
        <v>36.815852</v>
      </c>
      <c r="AF22" s="260">
        <v>36.842130999999995</v>
      </c>
      <c r="AG22" s="260">
        <v>36.868271999999997</v>
      </c>
      <c r="AH22" s="260">
        <v>36.894272999999998</v>
      </c>
      <c r="AI22" s="260">
        <v>36.920135999999999</v>
      </c>
      <c r="AJ22" s="260">
        <v>36.945859999999996</v>
      </c>
      <c r="AK22" s="260">
        <v>36.971444999999996</v>
      </c>
      <c r="AL22" s="260">
        <v>36.996893</v>
      </c>
      <c r="AM22" s="260">
        <v>37.022202999999998</v>
      </c>
      <c r="AN22" s="260">
        <v>37.047374999999995</v>
      </c>
      <c r="AO22" s="260">
        <v>37.072409999999998</v>
      </c>
      <c r="AP22" s="260">
        <v>37.097308999999996</v>
      </c>
      <c r="AQ22" s="260">
        <v>37.122070000000001</v>
      </c>
      <c r="AR22" s="260">
        <v>37.146695999999999</v>
      </c>
      <c r="AS22" s="260">
        <v>37.171185999999999</v>
      </c>
      <c r="AT22" s="260">
        <v>37.195540000000001</v>
      </c>
      <c r="AU22" s="260">
        <v>37.219757999999999</v>
      </c>
      <c r="AV22" s="260">
        <v>37.243842000000001</v>
      </c>
      <c r="AW22" s="260">
        <v>37.267792</v>
      </c>
      <c r="AX22" s="260">
        <v>37.291606999999999</v>
      </c>
      <c r="AY22" s="260">
        <v>37.315287999999995</v>
      </c>
      <c r="AZ22" s="260">
        <v>37.338836000000001</v>
      </c>
      <c r="BA22" s="260">
        <v>37.362249999999996</v>
      </c>
      <c r="BB22" s="260">
        <v>37.385531999999998</v>
      </c>
      <c r="BC22" s="260">
        <v>37.408681000000001</v>
      </c>
      <c r="BD22" s="260">
        <v>37.431697999999997</v>
      </c>
      <c r="BE22" s="260">
        <v>37.454583999999997</v>
      </c>
      <c r="BF22" s="260">
        <v>37.477337999999996</v>
      </c>
      <c r="BG22" s="260">
        <v>37.499960999999999</v>
      </c>
      <c r="BH22" s="260">
        <v>37.522453999999996</v>
      </c>
      <c r="BI22" s="260">
        <v>37.544816999999995</v>
      </c>
      <c r="BJ22" s="260">
        <v>37.567050000000002</v>
      </c>
      <c r="BK22" s="260">
        <v>37.589152999999996</v>
      </c>
      <c r="BL22" s="260">
        <v>37.611128000000001</v>
      </c>
      <c r="BM22" s="260">
        <v>37.632973999999997</v>
      </c>
      <c r="BN22" s="260">
        <v>37.654691999999997</v>
      </c>
      <c r="BO22" s="260">
        <v>37.676282</v>
      </c>
      <c r="BP22" s="260">
        <v>37.697744999999998</v>
      </c>
      <c r="BQ22" s="260">
        <v>37.719082</v>
      </c>
      <c r="BR22" s="260">
        <v>37.740291999999997</v>
      </c>
      <c r="BS22" s="260">
        <v>37.761375999999998</v>
      </c>
      <c r="BT22" s="260">
        <v>37.782333999999999</v>
      </c>
      <c r="BU22" s="260">
        <v>37.803166999999995</v>
      </c>
      <c r="BV22" s="260">
        <v>37.823875999999998</v>
      </c>
      <c r="BW22" s="260">
        <v>37.844460999999995</v>
      </c>
      <c r="BX22" s="260">
        <v>37.864920999999995</v>
      </c>
      <c r="BY22" s="260">
        <v>37.885258999999998</v>
      </c>
      <c r="BZ22" s="260">
        <v>37.905473999999998</v>
      </c>
      <c r="CA22" s="260">
        <v>37.925565999999996</v>
      </c>
      <c r="CB22" s="260">
        <v>37.945535999999997</v>
      </c>
      <c r="CC22" s="260">
        <v>37.965384999999998</v>
      </c>
      <c r="CD22" s="260">
        <v>37.985112999999998</v>
      </c>
      <c r="CE22" s="260">
        <v>38.004719999999999</v>
      </c>
      <c r="CF22" s="260">
        <v>38.024208000000002</v>
      </c>
      <c r="CG22" s="260">
        <v>38.043574999999997</v>
      </c>
      <c r="CH22" s="260">
        <v>38.062823999999999</v>
      </c>
    </row>
    <row r="23" spans="1:86" x14ac:dyDescent="0.25">
      <c r="A23" s="170">
        <v>1</v>
      </c>
      <c r="B23" s="170">
        <v>22</v>
      </c>
      <c r="C23" s="259">
        <v>36.256828308105469</v>
      </c>
      <c r="D23" s="259">
        <v>36.299213409423828</v>
      </c>
      <c r="E23" s="259">
        <v>36.340923309326172</v>
      </c>
      <c r="F23" s="259">
        <v>36.381977081298828</v>
      </c>
      <c r="G23" s="259">
        <v>36.422386169433594</v>
      </c>
      <c r="H23" s="259">
        <v>36.462154388427734</v>
      </c>
      <c r="I23" s="260">
        <v>35.910381000000001</v>
      </c>
      <c r="J23" s="260">
        <v>35.941151999999995</v>
      </c>
      <c r="K23" s="260">
        <v>35.971599999999995</v>
      </c>
      <c r="L23" s="260">
        <v>36.001747000000002</v>
      </c>
      <c r="M23" s="260">
        <v>36.031613999999998</v>
      </c>
      <c r="N23" s="260">
        <v>36.061222000000001</v>
      </c>
      <c r="O23" s="260">
        <v>36.090593999999996</v>
      </c>
      <c r="P23" s="260">
        <v>36.119746999999997</v>
      </c>
      <c r="Q23" s="260">
        <v>36.148700999999996</v>
      </c>
      <c r="R23" s="260">
        <v>36.177472000000002</v>
      </c>
      <c r="S23" s="260">
        <v>36.206071999999999</v>
      </c>
      <c r="T23" s="260">
        <v>36.234513999999997</v>
      </c>
      <c r="U23" s="260">
        <v>36.262805999999998</v>
      </c>
      <c r="V23" s="260">
        <v>36.290953999999999</v>
      </c>
      <c r="W23" s="260">
        <v>36.318957999999995</v>
      </c>
      <c r="X23" s="260">
        <v>36.346820999999998</v>
      </c>
      <c r="Y23" s="260">
        <v>36.374541000000001</v>
      </c>
      <c r="Z23" s="260">
        <v>36.402118000000002</v>
      </c>
      <c r="AA23" s="260">
        <v>36.429553999999996</v>
      </c>
      <c r="AB23" s="260">
        <v>36.456848999999998</v>
      </c>
      <c r="AC23" s="260">
        <v>36.484001999999997</v>
      </c>
      <c r="AD23" s="260">
        <v>36.511012999999998</v>
      </c>
      <c r="AE23" s="260">
        <v>36.537883999999998</v>
      </c>
      <c r="AF23" s="260">
        <v>36.564613999999999</v>
      </c>
      <c r="AG23" s="260">
        <v>36.591203</v>
      </c>
      <c r="AH23" s="260">
        <v>36.617652</v>
      </c>
      <c r="AI23" s="260">
        <v>36.643960999999997</v>
      </c>
      <c r="AJ23" s="260">
        <v>36.67013</v>
      </c>
      <c r="AK23" s="260">
        <v>36.696159999999999</v>
      </c>
      <c r="AL23" s="260">
        <v>36.722049999999996</v>
      </c>
      <c r="AM23" s="260">
        <v>36.747802</v>
      </c>
      <c r="AN23" s="260">
        <v>36.773415</v>
      </c>
      <c r="AO23" s="260">
        <v>36.798888999999996</v>
      </c>
      <c r="AP23" s="260">
        <v>36.824224999999998</v>
      </c>
      <c r="AQ23" s="260">
        <v>36.849423999999999</v>
      </c>
      <c r="AR23" s="260">
        <v>36.874485</v>
      </c>
      <c r="AS23" s="260">
        <v>36.899408999999999</v>
      </c>
      <c r="AT23" s="260">
        <v>36.924194999999997</v>
      </c>
      <c r="AU23" s="260">
        <v>36.948845999999996</v>
      </c>
      <c r="AV23" s="260">
        <v>36.97336</v>
      </c>
      <c r="AW23" s="260">
        <v>36.997737999999998</v>
      </c>
      <c r="AX23" s="260">
        <v>37.021979999999999</v>
      </c>
      <c r="AY23" s="260">
        <v>37.046087999999997</v>
      </c>
      <c r="AZ23" s="260">
        <v>37.070059999999998</v>
      </c>
      <c r="BA23" s="260">
        <v>37.093897999999996</v>
      </c>
      <c r="BB23" s="260">
        <v>37.117601000000001</v>
      </c>
      <c r="BC23" s="260">
        <v>37.141171</v>
      </c>
      <c r="BD23" s="260">
        <v>37.164606999999997</v>
      </c>
      <c r="BE23" s="260">
        <v>37.187909999999995</v>
      </c>
      <c r="BF23" s="260">
        <v>37.211079999999995</v>
      </c>
      <c r="BG23" s="260">
        <v>37.234117999999995</v>
      </c>
      <c r="BH23" s="260">
        <v>37.257024000000001</v>
      </c>
      <c r="BI23" s="260">
        <v>37.279798999999997</v>
      </c>
      <c r="BJ23" s="260">
        <v>37.302441999999999</v>
      </c>
      <c r="BK23" s="260">
        <v>37.324953999999998</v>
      </c>
      <c r="BL23" s="260">
        <v>37.347335999999999</v>
      </c>
      <c r="BM23" s="260">
        <v>37.369588</v>
      </c>
      <c r="BN23" s="260">
        <v>37.391709999999996</v>
      </c>
      <c r="BO23" s="260">
        <v>37.413702999999998</v>
      </c>
      <c r="BP23" s="260">
        <v>37.435566999999999</v>
      </c>
      <c r="BQ23" s="260">
        <v>37.457302999999996</v>
      </c>
      <c r="BR23" s="260">
        <v>37.478910999999997</v>
      </c>
      <c r="BS23" s="260">
        <v>37.500391999999998</v>
      </c>
      <c r="BT23" s="260">
        <v>37.521744999999996</v>
      </c>
      <c r="BU23" s="260">
        <v>37.542971999999999</v>
      </c>
      <c r="BV23" s="260">
        <v>37.564071999999996</v>
      </c>
      <c r="BW23" s="260">
        <v>37.585046999999996</v>
      </c>
      <c r="BX23" s="260">
        <v>37.605896000000001</v>
      </c>
      <c r="BY23" s="260">
        <v>37.626621</v>
      </c>
      <c r="BZ23" s="260">
        <v>37.647221000000002</v>
      </c>
      <c r="CA23" s="260">
        <v>37.667696999999997</v>
      </c>
      <c r="CB23" s="260">
        <v>37.688048999999999</v>
      </c>
      <c r="CC23" s="260">
        <v>37.708278999999997</v>
      </c>
      <c r="CD23" s="260">
        <v>37.728386</v>
      </c>
      <c r="CE23" s="260">
        <v>37.748370000000001</v>
      </c>
      <c r="CF23" s="260">
        <v>37.768232999999995</v>
      </c>
      <c r="CG23" s="260">
        <v>37.787974999999996</v>
      </c>
      <c r="CH23" s="260">
        <v>37.807595999999997</v>
      </c>
    </row>
    <row r="24" spans="1:86" x14ac:dyDescent="0.25">
      <c r="A24" s="170">
        <v>1</v>
      </c>
      <c r="B24" s="170">
        <v>23</v>
      </c>
      <c r="C24" s="259">
        <v>35.952838897705078</v>
      </c>
      <c r="D24" s="259">
        <v>35.996265411376953</v>
      </c>
      <c r="E24" s="259">
        <v>36.039005279541016</v>
      </c>
      <c r="F24" s="259">
        <v>36.081069946289063</v>
      </c>
      <c r="G24" s="259">
        <v>36.122470855712891</v>
      </c>
      <c r="H24" s="259">
        <v>36.163223266601563</v>
      </c>
      <c r="I24" s="260">
        <v>35.616723</v>
      </c>
      <c r="J24" s="260">
        <v>35.647971999999996</v>
      </c>
      <c r="K24" s="260">
        <v>35.678896000000002</v>
      </c>
      <c r="L24" s="260">
        <v>35.709517999999996</v>
      </c>
      <c r="M24" s="260">
        <v>35.73986</v>
      </c>
      <c r="N24" s="260">
        <v>35.769942</v>
      </c>
      <c r="O24" s="260">
        <v>35.799785999999997</v>
      </c>
      <c r="P24" s="260">
        <v>35.829409999999996</v>
      </c>
      <c r="Q24" s="260">
        <v>35.858834000000002</v>
      </c>
      <c r="R24" s="260">
        <v>35.888072999999999</v>
      </c>
      <c r="S24" s="260">
        <v>35.917141000000001</v>
      </c>
      <c r="T24" s="260">
        <v>35.94605</v>
      </c>
      <c r="U24" s="260">
        <v>35.974806999999998</v>
      </c>
      <c r="V24" s="260">
        <v>36.003419000000001</v>
      </c>
      <c r="W24" s="260">
        <v>36.031887999999995</v>
      </c>
      <c r="X24" s="260">
        <v>36.060212999999997</v>
      </c>
      <c r="Y24" s="260">
        <v>36.088394999999998</v>
      </c>
      <c r="Z24" s="260">
        <v>36.116433999999998</v>
      </c>
      <c r="AA24" s="260">
        <v>36.144329999999997</v>
      </c>
      <c r="AB24" s="260">
        <v>36.172083999999998</v>
      </c>
      <c r="AC24" s="260">
        <v>36.199694999999998</v>
      </c>
      <c r="AD24" s="260">
        <v>36.227163999999995</v>
      </c>
      <c r="AE24" s="260">
        <v>36.254489999999997</v>
      </c>
      <c r="AF24" s="260">
        <v>36.281675</v>
      </c>
      <c r="AG24" s="260">
        <v>36.308717999999999</v>
      </c>
      <c r="AH24" s="260">
        <v>36.335619999999999</v>
      </c>
      <c r="AI24" s="260">
        <v>36.362380999999999</v>
      </c>
      <c r="AJ24" s="260">
        <v>36.388999999999996</v>
      </c>
      <c r="AK24" s="260">
        <v>36.415478999999998</v>
      </c>
      <c r="AL24" s="260">
        <v>36.441817999999998</v>
      </c>
      <c r="AM24" s="260">
        <v>36.468015999999999</v>
      </c>
      <c r="AN24" s="260">
        <v>36.494074999999995</v>
      </c>
      <c r="AO24" s="260">
        <v>36.519993999999997</v>
      </c>
      <c r="AP24" s="260">
        <v>36.545774000000002</v>
      </c>
      <c r="AQ24" s="260">
        <v>36.571413999999997</v>
      </c>
      <c r="AR24" s="260">
        <v>36.596916</v>
      </c>
      <c r="AS24" s="260">
        <v>36.622278999999999</v>
      </c>
      <c r="AT24" s="260">
        <v>36.647503999999998</v>
      </c>
      <c r="AU24" s="260">
        <v>36.672590999999997</v>
      </c>
      <c r="AV24" s="260">
        <v>36.697541000000001</v>
      </c>
      <c r="AW24" s="260">
        <v>36.722352999999998</v>
      </c>
      <c r="AX24" s="260">
        <v>36.747028999999998</v>
      </c>
      <c r="AY24" s="260">
        <v>36.771567999999995</v>
      </c>
      <c r="AZ24" s="260">
        <v>36.795969999999997</v>
      </c>
      <c r="BA24" s="260">
        <v>36.820236999999999</v>
      </c>
      <c r="BB24" s="260">
        <v>36.844367999999996</v>
      </c>
      <c r="BC24" s="260">
        <v>36.868362999999995</v>
      </c>
      <c r="BD24" s="260">
        <v>36.892223999999999</v>
      </c>
      <c r="BE24" s="260">
        <v>36.915951</v>
      </c>
      <c r="BF24" s="260">
        <v>36.939543</v>
      </c>
      <c r="BG24" s="260">
        <v>36.963000999999998</v>
      </c>
      <c r="BH24" s="260">
        <v>36.986325999999998</v>
      </c>
      <c r="BI24" s="260">
        <v>37.009516999999995</v>
      </c>
      <c r="BJ24" s="260">
        <v>37.032575999999999</v>
      </c>
      <c r="BK24" s="260">
        <v>37.055503000000002</v>
      </c>
      <c r="BL24" s="260">
        <v>37.078297999999997</v>
      </c>
      <c r="BM24" s="260">
        <v>37.100960999999998</v>
      </c>
      <c r="BN24" s="260">
        <v>37.123494000000001</v>
      </c>
      <c r="BO24" s="260">
        <v>37.145894999999996</v>
      </c>
      <c r="BP24" s="260">
        <v>37.168165999999999</v>
      </c>
      <c r="BQ24" s="260">
        <v>37.190306999999997</v>
      </c>
      <c r="BR24" s="260">
        <v>37.212319000000001</v>
      </c>
      <c r="BS24" s="260">
        <v>37.234201999999996</v>
      </c>
      <c r="BT24" s="260">
        <v>37.255955999999998</v>
      </c>
      <c r="BU24" s="260">
        <v>37.277581999999995</v>
      </c>
      <c r="BV24" s="260">
        <v>37.299079999999996</v>
      </c>
      <c r="BW24" s="260">
        <v>37.320450000000001</v>
      </c>
      <c r="BX24" s="260">
        <v>37.341693999999997</v>
      </c>
      <c r="BY24" s="260">
        <v>37.362811000000001</v>
      </c>
      <c r="BZ24" s="260">
        <v>37.383803</v>
      </c>
      <c r="CA24" s="260">
        <v>37.404668000000001</v>
      </c>
      <c r="CB24" s="260">
        <v>37.425408999999995</v>
      </c>
      <c r="CC24" s="260">
        <v>37.446024999999999</v>
      </c>
      <c r="CD24" s="260">
        <v>37.466515999999999</v>
      </c>
      <c r="CE24" s="260">
        <v>37.486883999999996</v>
      </c>
      <c r="CF24" s="260">
        <v>37.507128999999999</v>
      </c>
      <c r="CG24" s="260">
        <v>37.527249999999995</v>
      </c>
      <c r="CH24" s="260">
        <v>37.547249999999998</v>
      </c>
    </row>
    <row r="25" spans="1:86" x14ac:dyDescent="0.25">
      <c r="A25" s="170">
        <v>1</v>
      </c>
      <c r="B25" s="170">
        <v>24</v>
      </c>
      <c r="C25" s="259">
        <v>35.642288208007813</v>
      </c>
      <c r="D25" s="259">
        <v>35.686786651611328</v>
      </c>
      <c r="E25" s="259">
        <v>35.730583190917969</v>
      </c>
      <c r="F25" s="259">
        <v>35.773685455322266</v>
      </c>
      <c r="G25" s="259">
        <v>35.816104888916016</v>
      </c>
      <c r="H25" s="259">
        <v>35.857860565185547</v>
      </c>
      <c r="I25" s="260">
        <v>35.317270999999998</v>
      </c>
      <c r="J25" s="260">
        <v>35.349001000000001</v>
      </c>
      <c r="K25" s="260">
        <v>35.380406000000001</v>
      </c>
      <c r="L25" s="260">
        <v>35.411508999999995</v>
      </c>
      <c r="M25" s="260">
        <v>35.442329999999998</v>
      </c>
      <c r="N25" s="260">
        <v>35.472890999999997</v>
      </c>
      <c r="O25" s="260">
        <v>35.503211999999998</v>
      </c>
      <c r="P25" s="260">
        <v>35.533313</v>
      </c>
      <c r="Q25" s="260">
        <v>35.563212999999998</v>
      </c>
      <c r="R25" s="260">
        <v>35.592925999999999</v>
      </c>
      <c r="S25" s="260">
        <v>35.622467999999998</v>
      </c>
      <c r="T25" s="260">
        <v>35.651848999999999</v>
      </c>
      <c r="U25" s="260">
        <v>35.681078999999997</v>
      </c>
      <c r="V25" s="260">
        <v>35.710161999999997</v>
      </c>
      <c r="W25" s="260">
        <v>35.739100000000001</v>
      </c>
      <c r="X25" s="260">
        <v>35.767894999999996</v>
      </c>
      <c r="Y25" s="260">
        <v>35.796545000000002</v>
      </c>
      <c r="Z25" s="260">
        <v>35.825050999999995</v>
      </c>
      <c r="AA25" s="260">
        <v>35.853414000000001</v>
      </c>
      <c r="AB25" s="260">
        <v>35.881631999999996</v>
      </c>
      <c r="AC25" s="260">
        <v>35.909707999999995</v>
      </c>
      <c r="AD25" s="260">
        <v>35.937640000000002</v>
      </c>
      <c r="AE25" s="260">
        <v>35.965429</v>
      </c>
      <c r="AF25" s="260">
        <v>35.993074999999997</v>
      </c>
      <c r="AG25" s="260">
        <v>36.020578</v>
      </c>
      <c r="AH25" s="260">
        <v>36.047939</v>
      </c>
      <c r="AI25" s="260">
        <v>36.075158000000002</v>
      </c>
      <c r="AJ25" s="260">
        <v>36.102233999999996</v>
      </c>
      <c r="AK25" s="260">
        <v>36.129168999999997</v>
      </c>
      <c r="AL25" s="260">
        <v>36.155961999999995</v>
      </c>
      <c r="AM25" s="260">
        <v>36.182614000000001</v>
      </c>
      <c r="AN25" s="260">
        <v>36.209125</v>
      </c>
      <c r="AO25" s="260">
        <v>36.235495</v>
      </c>
      <c r="AP25" s="260">
        <v>36.261724999999998</v>
      </c>
      <c r="AQ25" s="260">
        <v>36.287813999999997</v>
      </c>
      <c r="AR25" s="260">
        <v>36.313763000000002</v>
      </c>
      <c r="AS25" s="260">
        <v>36.339571999999997</v>
      </c>
      <c r="AT25" s="260">
        <v>36.365241999999995</v>
      </c>
      <c r="AU25" s="260">
        <v>36.390772999999996</v>
      </c>
      <c r="AV25" s="260">
        <v>36.416164999999999</v>
      </c>
      <c r="AW25" s="260">
        <v>36.441417999999999</v>
      </c>
      <c r="AX25" s="260">
        <v>36.466532999999998</v>
      </c>
      <c r="AY25" s="260">
        <v>36.491509999999998</v>
      </c>
      <c r="AZ25" s="260">
        <v>36.516348999999998</v>
      </c>
      <c r="BA25" s="260">
        <v>36.541052000000001</v>
      </c>
      <c r="BB25" s="260">
        <v>36.565616999999996</v>
      </c>
      <c r="BC25" s="260">
        <v>36.590044999999996</v>
      </c>
      <c r="BD25" s="260">
        <v>36.614336999999999</v>
      </c>
      <c r="BE25" s="260">
        <v>36.638492999999997</v>
      </c>
      <c r="BF25" s="260">
        <v>36.662514000000002</v>
      </c>
      <c r="BG25" s="260">
        <v>36.686399000000002</v>
      </c>
      <c r="BH25" s="260">
        <v>36.710149999999999</v>
      </c>
      <c r="BI25" s="260">
        <v>36.733765999999996</v>
      </c>
      <c r="BJ25" s="260">
        <v>36.757247</v>
      </c>
      <c r="BK25" s="260">
        <v>36.780594999999998</v>
      </c>
      <c r="BL25" s="260">
        <v>36.803809999999999</v>
      </c>
      <c r="BM25" s="260">
        <v>36.826890999999996</v>
      </c>
      <c r="BN25" s="260">
        <v>36.84984</v>
      </c>
      <c r="BO25" s="260">
        <v>36.872656999999997</v>
      </c>
      <c r="BP25" s="260">
        <v>36.895340999999995</v>
      </c>
      <c r="BQ25" s="260">
        <v>36.917895000000001</v>
      </c>
      <c r="BR25" s="260">
        <v>36.940317</v>
      </c>
      <c r="BS25" s="260">
        <v>36.962609</v>
      </c>
      <c r="BT25" s="260">
        <v>36.984769999999997</v>
      </c>
      <c r="BU25" s="260">
        <v>37.006802</v>
      </c>
      <c r="BV25" s="260">
        <v>37.028703999999998</v>
      </c>
      <c r="BW25" s="260">
        <v>37.050477999999998</v>
      </c>
      <c r="BX25" s="260">
        <v>37.072122</v>
      </c>
      <c r="BY25" s="260">
        <v>37.093638999999996</v>
      </c>
      <c r="BZ25" s="260">
        <v>37.115027999999995</v>
      </c>
      <c r="CA25" s="260">
        <v>37.136289999999995</v>
      </c>
      <c r="CB25" s="260">
        <v>37.157426000000001</v>
      </c>
      <c r="CC25" s="260">
        <v>37.178433999999996</v>
      </c>
      <c r="CD25" s="260">
        <v>37.199317999999998</v>
      </c>
      <c r="CE25" s="260">
        <v>37.220075000000001</v>
      </c>
      <c r="CF25" s="260">
        <v>37.240707999999998</v>
      </c>
      <c r="CG25" s="260">
        <v>37.261215999999997</v>
      </c>
      <c r="CH25" s="260">
        <v>37.281600999999995</v>
      </c>
    </row>
    <row r="26" spans="1:86" x14ac:dyDescent="0.25">
      <c r="A26" s="170">
        <v>1</v>
      </c>
      <c r="B26" s="170">
        <v>25</v>
      </c>
      <c r="C26" s="259">
        <v>35.324554443359375</v>
      </c>
      <c r="D26" s="259">
        <v>35.370162963867188</v>
      </c>
      <c r="E26" s="259">
        <v>35.415050506591797</v>
      </c>
      <c r="F26" s="259">
        <v>35.459228515625</v>
      </c>
      <c r="G26" s="259">
        <v>35.502704620361328</v>
      </c>
      <c r="H26" s="259">
        <v>35.545501708984375</v>
      </c>
      <c r="I26" s="260">
        <v>35.011676999999999</v>
      </c>
      <c r="J26" s="260">
        <v>35.043892999999997</v>
      </c>
      <c r="K26" s="260">
        <v>35.075786000000001</v>
      </c>
      <c r="L26" s="260">
        <v>35.107375999999995</v>
      </c>
      <c r="M26" s="260">
        <v>35.138684999999995</v>
      </c>
      <c r="N26" s="260">
        <v>35.169731999999996</v>
      </c>
      <c r="O26" s="260">
        <v>35.200539999999997</v>
      </c>
      <c r="P26" s="260">
        <v>35.231125999999996</v>
      </c>
      <c r="Q26" s="260">
        <v>35.261508999999997</v>
      </c>
      <c r="R26" s="260">
        <v>35.291705</v>
      </c>
      <c r="S26" s="260">
        <v>35.321728</v>
      </c>
      <c r="T26" s="260">
        <v>35.351590000000002</v>
      </c>
      <c r="U26" s="260">
        <v>35.381298999999999</v>
      </c>
      <c r="V26" s="260">
        <v>35.410860999999997</v>
      </c>
      <c r="W26" s="260">
        <v>35.440277999999999</v>
      </c>
      <c r="X26" s="260">
        <v>35.469549000000001</v>
      </c>
      <c r="Y26" s="260">
        <v>35.498675999999996</v>
      </c>
      <c r="Z26" s="260">
        <v>35.527657999999995</v>
      </c>
      <c r="AA26" s="260">
        <v>35.556494999999998</v>
      </c>
      <c r="AB26" s="260">
        <v>35.585186999999998</v>
      </c>
      <c r="AC26" s="260">
        <v>35.613734999999998</v>
      </c>
      <c r="AD26" s="260">
        <v>35.642137999999996</v>
      </c>
      <c r="AE26" s="260">
        <v>35.670397999999999</v>
      </c>
      <c r="AF26" s="260">
        <v>35.698512999999998</v>
      </c>
      <c r="AG26" s="260">
        <v>35.726484999999997</v>
      </c>
      <c r="AH26" s="260">
        <v>35.754312999999996</v>
      </c>
      <c r="AI26" s="260">
        <v>35.781998000000002</v>
      </c>
      <c r="AJ26" s="260">
        <v>35.809539999999998</v>
      </c>
      <c r="AK26" s="260">
        <v>35.836937999999996</v>
      </c>
      <c r="AL26" s="260">
        <v>35.864193999999998</v>
      </c>
      <c r="AM26" s="260">
        <v>35.891307999999995</v>
      </c>
      <c r="AN26" s="260">
        <v>35.918278999999998</v>
      </c>
      <c r="AO26" s="260">
        <v>35.945107999999998</v>
      </c>
      <c r="AP26" s="260">
        <v>35.971795999999998</v>
      </c>
      <c r="AQ26" s="260">
        <v>35.998342000000001</v>
      </c>
      <c r="AR26" s="260">
        <v>36.024746999999998</v>
      </c>
      <c r="AS26" s="260">
        <v>36.051009999999998</v>
      </c>
      <c r="AT26" s="260">
        <v>36.077132999999996</v>
      </c>
      <c r="AU26" s="260">
        <v>36.103116</v>
      </c>
      <c r="AV26" s="260">
        <v>36.128957999999997</v>
      </c>
      <c r="AW26" s="260">
        <v>36.15466</v>
      </c>
      <c r="AX26" s="260">
        <v>36.180222999999998</v>
      </c>
      <c r="AY26" s="260">
        <v>36.205646999999999</v>
      </c>
      <c r="AZ26" s="260">
        <v>36.230930999999998</v>
      </c>
      <c r="BA26" s="260">
        <v>36.256076999999998</v>
      </c>
      <c r="BB26" s="260">
        <v>36.281084</v>
      </c>
      <c r="BC26" s="260">
        <v>36.305954</v>
      </c>
      <c r="BD26" s="260">
        <v>36.330684999999995</v>
      </c>
      <c r="BE26" s="260">
        <v>36.35528</v>
      </c>
      <c r="BF26" s="260">
        <v>36.379736999999999</v>
      </c>
      <c r="BG26" s="260">
        <v>36.404057999999999</v>
      </c>
      <c r="BH26" s="260">
        <v>36.428241999999997</v>
      </c>
      <c r="BI26" s="260">
        <v>36.452289999999998</v>
      </c>
      <c r="BJ26" s="260">
        <v>36.476202000000001</v>
      </c>
      <c r="BK26" s="260">
        <v>36.499980000000001</v>
      </c>
      <c r="BL26" s="260">
        <v>36.523621999999996</v>
      </c>
      <c r="BM26" s="260">
        <v>36.547129999999996</v>
      </c>
      <c r="BN26" s="260">
        <v>36.570502999999995</v>
      </c>
      <c r="BO26" s="260">
        <v>36.593742999999996</v>
      </c>
      <c r="BP26" s="260">
        <v>36.616849999999999</v>
      </c>
      <c r="BQ26" s="260">
        <v>36.639823</v>
      </c>
      <c r="BR26" s="260">
        <v>36.662663999999999</v>
      </c>
      <c r="BS26" s="260">
        <v>36.685372999999998</v>
      </c>
      <c r="BT26" s="260">
        <v>36.707949999999997</v>
      </c>
      <c r="BU26" s="260">
        <v>36.730395999999999</v>
      </c>
      <c r="BV26" s="260">
        <v>36.75271</v>
      </c>
      <c r="BW26" s="260">
        <v>36.774893999999996</v>
      </c>
      <c r="BX26" s="260">
        <v>36.796948</v>
      </c>
      <c r="BY26" s="260">
        <v>36.818872999999996</v>
      </c>
      <c r="BZ26" s="260">
        <v>36.840668000000001</v>
      </c>
      <c r="CA26" s="260">
        <v>36.862333999999997</v>
      </c>
      <c r="CB26" s="260">
        <v>36.883871999999997</v>
      </c>
      <c r="CC26" s="260">
        <v>36.905282</v>
      </c>
      <c r="CD26" s="260">
        <v>36.926563999999999</v>
      </c>
      <c r="CE26" s="260">
        <v>36.947719999999997</v>
      </c>
      <c r="CF26" s="260">
        <v>36.968747999999998</v>
      </c>
      <c r="CG26" s="260">
        <v>36.989650999999995</v>
      </c>
      <c r="CH26" s="260">
        <v>37.010427999999997</v>
      </c>
    </row>
    <row r="27" spans="1:86" x14ac:dyDescent="0.25">
      <c r="A27" s="170">
        <v>1</v>
      </c>
      <c r="B27" s="170">
        <v>26</v>
      </c>
      <c r="C27" s="259">
        <v>34.998828887939453</v>
      </c>
      <c r="D27" s="259">
        <v>35.045528411865234</v>
      </c>
      <c r="E27" s="259">
        <v>35.091484069824219</v>
      </c>
      <c r="F27" s="259">
        <v>35.136714935302734</v>
      </c>
      <c r="G27" s="259">
        <v>35.181232452392578</v>
      </c>
      <c r="H27" s="259">
        <v>35.225051879882813</v>
      </c>
      <c r="I27" s="260">
        <v>34.699965999999996</v>
      </c>
      <c r="J27" s="260">
        <v>34.732672999999998</v>
      </c>
      <c r="K27" s="260">
        <v>34.765057999999996</v>
      </c>
      <c r="L27" s="260">
        <v>34.797140999999996</v>
      </c>
      <c r="M27" s="260">
        <v>34.828941999999998</v>
      </c>
      <c r="N27" s="260">
        <v>34.860481999999998</v>
      </c>
      <c r="O27" s="260">
        <v>34.891781999999999</v>
      </c>
      <c r="P27" s="260">
        <v>34.922858999999995</v>
      </c>
      <c r="Q27" s="260">
        <v>34.953731999999995</v>
      </c>
      <c r="R27" s="260">
        <v>34.984417999999998</v>
      </c>
      <c r="S27" s="260">
        <v>35.01493</v>
      </c>
      <c r="T27" s="260">
        <v>35.045279000000001</v>
      </c>
      <c r="U27" s="260">
        <v>35.075476000000002</v>
      </c>
      <c r="V27" s="260">
        <v>35.105522999999998</v>
      </c>
      <c r="W27" s="260">
        <v>35.135424999999998</v>
      </c>
      <c r="X27" s="260">
        <v>35.165180999999997</v>
      </c>
      <c r="Y27" s="260">
        <v>35.194790999999995</v>
      </c>
      <c r="Z27" s="260">
        <v>35.224254999999999</v>
      </c>
      <c r="AA27" s="260">
        <v>35.253572999999996</v>
      </c>
      <c r="AB27" s="260">
        <v>35.282745999999996</v>
      </c>
      <c r="AC27" s="260">
        <v>35.311774</v>
      </c>
      <c r="AD27" s="260">
        <v>35.340655999999996</v>
      </c>
      <c r="AE27" s="260">
        <v>35.369392999999995</v>
      </c>
      <c r="AF27" s="260">
        <v>35.397984999999998</v>
      </c>
      <c r="AG27" s="260">
        <v>35.426431999999998</v>
      </c>
      <c r="AH27" s="260">
        <v>35.454734999999999</v>
      </c>
      <c r="AI27" s="260">
        <v>35.482892999999997</v>
      </c>
      <c r="AJ27" s="260">
        <v>35.510906999999996</v>
      </c>
      <c r="AK27" s="260">
        <v>35.538776999999996</v>
      </c>
      <c r="AL27" s="260">
        <v>35.566502999999997</v>
      </c>
      <c r="AM27" s="260">
        <v>35.594085999999997</v>
      </c>
      <c r="AN27" s="260">
        <v>35.621524999999998</v>
      </c>
      <c r="AO27" s="260">
        <v>35.648820999999998</v>
      </c>
      <c r="AP27" s="260">
        <v>35.675973999999997</v>
      </c>
      <c r="AQ27" s="260">
        <v>35.702984000000001</v>
      </c>
      <c r="AR27" s="260">
        <v>35.729852000000001</v>
      </c>
      <c r="AS27" s="260">
        <v>35.756577</v>
      </c>
      <c r="AT27" s="260">
        <v>35.783159999999995</v>
      </c>
      <c r="AU27" s="260">
        <v>35.809601999999998</v>
      </c>
      <c r="AV27" s="260">
        <v>35.835901999999997</v>
      </c>
      <c r="AW27" s="260">
        <v>35.862060999999997</v>
      </c>
      <c r="AX27" s="260">
        <v>35.888078999999998</v>
      </c>
      <c r="AY27" s="260">
        <v>35.913955999999999</v>
      </c>
      <c r="AZ27" s="260">
        <v>35.939692999999998</v>
      </c>
      <c r="BA27" s="260">
        <v>35.965289999999996</v>
      </c>
      <c r="BB27" s="260">
        <v>35.990747999999996</v>
      </c>
      <c r="BC27" s="260">
        <v>36.016064999999998</v>
      </c>
      <c r="BD27" s="260">
        <v>36.041243999999999</v>
      </c>
      <c r="BE27" s="260">
        <v>36.066283999999996</v>
      </c>
      <c r="BF27" s="260">
        <v>36.091184999999996</v>
      </c>
      <c r="BG27" s="260">
        <v>36.115949000000001</v>
      </c>
      <c r="BH27" s="260">
        <v>36.140574000000001</v>
      </c>
      <c r="BI27" s="260">
        <v>36.165061999999999</v>
      </c>
      <c r="BJ27" s="260">
        <v>36.189413000000002</v>
      </c>
      <c r="BK27" s="260">
        <v>36.213626999999995</v>
      </c>
      <c r="BL27" s="260">
        <v>36.237704000000001</v>
      </c>
      <c r="BM27" s="260">
        <v>36.261645999999999</v>
      </c>
      <c r="BN27" s="260">
        <v>36.285451999999999</v>
      </c>
      <c r="BO27" s="260">
        <v>36.309121999999995</v>
      </c>
      <c r="BP27" s="260">
        <v>36.332657999999995</v>
      </c>
      <c r="BQ27" s="260">
        <v>36.356059000000002</v>
      </c>
      <c r="BR27" s="260">
        <v>36.379325999999999</v>
      </c>
      <c r="BS27" s="260">
        <v>36.402459999999998</v>
      </c>
      <c r="BT27" s="260">
        <v>36.425458999999996</v>
      </c>
      <c r="BU27" s="260">
        <v>36.448326000000002</v>
      </c>
      <c r="BV27" s="260">
        <v>36.471060999999999</v>
      </c>
      <c r="BW27" s="260">
        <v>36.493662999999998</v>
      </c>
      <c r="BX27" s="260">
        <v>36.516134000000001</v>
      </c>
      <c r="BY27" s="260">
        <v>36.538472999999996</v>
      </c>
      <c r="BZ27" s="260">
        <v>36.560680999999995</v>
      </c>
      <c r="CA27" s="260">
        <v>36.582758999999996</v>
      </c>
      <c r="CB27" s="260">
        <v>36.604706999999998</v>
      </c>
      <c r="CC27" s="260">
        <v>36.626525000000001</v>
      </c>
      <c r="CD27" s="260">
        <v>36.648215</v>
      </c>
      <c r="CE27" s="260">
        <v>36.669775000000001</v>
      </c>
      <c r="CF27" s="260">
        <v>36.691206999999999</v>
      </c>
      <c r="CG27" s="260">
        <v>36.712511999999997</v>
      </c>
      <c r="CH27" s="260">
        <v>36.733688999999998</v>
      </c>
    </row>
    <row r="28" spans="1:86" x14ac:dyDescent="0.25">
      <c r="A28" s="170">
        <v>1</v>
      </c>
      <c r="B28" s="170">
        <v>27</v>
      </c>
      <c r="C28" s="259">
        <v>34.665519714355469</v>
      </c>
      <c r="D28" s="259">
        <v>34.713340759277344</v>
      </c>
      <c r="E28" s="259">
        <v>34.760406494140625</v>
      </c>
      <c r="F28" s="259">
        <v>34.806728363037109</v>
      </c>
      <c r="G28" s="259">
        <v>34.852321624755859</v>
      </c>
      <c r="H28" s="259">
        <v>34.897201538085938</v>
      </c>
      <c r="I28" s="260">
        <v>34.382297000000001</v>
      </c>
      <c r="J28" s="260">
        <v>34.415493999999995</v>
      </c>
      <c r="K28" s="260">
        <v>34.448371000000002</v>
      </c>
      <c r="L28" s="260">
        <v>34.480947999999998</v>
      </c>
      <c r="M28" s="260">
        <v>34.513244</v>
      </c>
      <c r="N28" s="260">
        <v>34.545279999999998</v>
      </c>
      <c r="O28" s="260">
        <v>34.577073999999996</v>
      </c>
      <c r="P28" s="260">
        <v>34.608646999999998</v>
      </c>
      <c r="Q28" s="260">
        <v>34.640014999999998</v>
      </c>
      <c r="R28" s="260">
        <v>34.671194</v>
      </c>
      <c r="S28" s="260">
        <v>34.702199</v>
      </c>
      <c r="T28" s="260">
        <v>34.733041</v>
      </c>
      <c r="U28" s="260">
        <v>34.763728999999998</v>
      </c>
      <c r="V28" s="260">
        <v>34.794266999999998</v>
      </c>
      <c r="W28" s="260">
        <v>34.824658999999997</v>
      </c>
      <c r="X28" s="260">
        <v>34.854903999999998</v>
      </c>
      <c r="Y28" s="260">
        <v>34.885002</v>
      </c>
      <c r="Z28" s="260">
        <v>34.914954000000002</v>
      </c>
      <c r="AA28" s="260">
        <v>34.944758999999998</v>
      </c>
      <c r="AB28" s="260">
        <v>34.974416999999995</v>
      </c>
      <c r="AC28" s="260">
        <v>35.003928999999999</v>
      </c>
      <c r="AD28" s="260">
        <v>35.033294999999995</v>
      </c>
      <c r="AE28" s="260">
        <v>35.062514999999998</v>
      </c>
      <c r="AF28" s="260">
        <v>35.091588999999999</v>
      </c>
      <c r="AG28" s="260">
        <v>35.120517</v>
      </c>
      <c r="AH28" s="260">
        <v>35.149299999999997</v>
      </c>
      <c r="AI28" s="260">
        <v>35.177937</v>
      </c>
      <c r="AJ28" s="260">
        <v>35.206429</v>
      </c>
      <c r="AK28" s="260">
        <v>35.234774999999999</v>
      </c>
      <c r="AL28" s="260">
        <v>35.262976999999999</v>
      </c>
      <c r="AM28" s="260">
        <v>35.291033999999996</v>
      </c>
      <c r="AN28" s="260">
        <v>35.318945999999997</v>
      </c>
      <c r="AO28" s="260">
        <v>35.346714999999996</v>
      </c>
      <c r="AP28" s="260">
        <v>35.374338000000002</v>
      </c>
      <c r="AQ28" s="260">
        <v>35.401817999999999</v>
      </c>
      <c r="AR28" s="260">
        <v>35.429155000000002</v>
      </c>
      <c r="AS28" s="260">
        <v>35.456347000000001</v>
      </c>
      <c r="AT28" s="260">
        <v>35.483396999999997</v>
      </c>
      <c r="AU28" s="260">
        <v>35.510303</v>
      </c>
      <c r="AV28" s="260">
        <v>35.537067</v>
      </c>
      <c r="AW28" s="260">
        <v>35.563687999999999</v>
      </c>
      <c r="AX28" s="260">
        <v>35.590167000000001</v>
      </c>
      <c r="AY28" s="260">
        <v>35.616504999999997</v>
      </c>
      <c r="AZ28" s="260">
        <v>35.642699999999998</v>
      </c>
      <c r="BA28" s="260">
        <v>35.668754</v>
      </c>
      <c r="BB28" s="260">
        <v>35.694666999999995</v>
      </c>
      <c r="BC28" s="260">
        <v>35.720438999999999</v>
      </c>
      <c r="BD28" s="260">
        <v>35.746071000000001</v>
      </c>
      <c r="BE28" s="260">
        <v>35.771561999999996</v>
      </c>
      <c r="BF28" s="260">
        <v>35.796912999999996</v>
      </c>
      <c r="BG28" s="260">
        <v>35.822125</v>
      </c>
      <c r="BH28" s="260">
        <v>35.847197999999999</v>
      </c>
      <c r="BI28" s="260">
        <v>35.872132000000001</v>
      </c>
      <c r="BJ28" s="260">
        <v>35.896926999999998</v>
      </c>
      <c r="BK28" s="260">
        <v>35.921583999999996</v>
      </c>
      <c r="BL28" s="260">
        <v>35.946103000000001</v>
      </c>
      <c r="BM28" s="260">
        <v>35.970483999999999</v>
      </c>
      <c r="BN28" s="260">
        <v>35.994727999999995</v>
      </c>
      <c r="BO28" s="260">
        <v>36.018836</v>
      </c>
      <c r="BP28" s="260">
        <v>36.042806999999996</v>
      </c>
      <c r="BQ28" s="260">
        <v>36.066642000000002</v>
      </c>
      <c r="BR28" s="260">
        <v>36.090340999999995</v>
      </c>
      <c r="BS28" s="260">
        <v>36.113904999999995</v>
      </c>
      <c r="BT28" s="260">
        <v>36.137333999999996</v>
      </c>
      <c r="BU28" s="260">
        <v>36.160627999999996</v>
      </c>
      <c r="BV28" s="260">
        <v>36.183788</v>
      </c>
      <c r="BW28" s="260">
        <v>36.206814999999999</v>
      </c>
      <c r="BX28" s="260">
        <v>36.229707999999995</v>
      </c>
      <c r="BY28" s="260">
        <v>36.252468999999998</v>
      </c>
      <c r="BZ28" s="260">
        <v>36.275095999999998</v>
      </c>
      <c r="CA28" s="260">
        <v>36.297592000000002</v>
      </c>
      <c r="CB28" s="260">
        <v>36.319955999999998</v>
      </c>
      <c r="CC28" s="260">
        <v>36.342188999999998</v>
      </c>
      <c r="CD28" s="260">
        <v>36.364291000000001</v>
      </c>
      <c r="CE28" s="260">
        <v>36.386263</v>
      </c>
      <c r="CF28" s="260">
        <v>36.408104999999999</v>
      </c>
      <c r="CG28" s="260">
        <v>36.429817</v>
      </c>
      <c r="CH28" s="260">
        <v>36.451400999999997</v>
      </c>
    </row>
    <row r="29" spans="1:86" x14ac:dyDescent="0.25">
      <c r="A29" s="170">
        <v>1</v>
      </c>
      <c r="B29" s="170">
        <v>28</v>
      </c>
      <c r="C29" s="259">
        <v>34.324497222900391</v>
      </c>
      <c r="D29" s="259">
        <v>34.373481750488281</v>
      </c>
      <c r="E29" s="259">
        <v>34.42169189453125</v>
      </c>
      <c r="F29" s="259">
        <v>34.469146728515625</v>
      </c>
      <c r="G29" s="259">
        <v>34.515850067138672</v>
      </c>
      <c r="H29" s="259">
        <v>34.561824798583984</v>
      </c>
      <c r="I29" s="260">
        <v>34.058862999999995</v>
      </c>
      <c r="J29" s="260">
        <v>34.092543999999997</v>
      </c>
      <c r="K29" s="260">
        <v>34.125909</v>
      </c>
      <c r="L29" s="260">
        <v>34.158975999999996</v>
      </c>
      <c r="M29" s="260">
        <v>34.191764999999997</v>
      </c>
      <c r="N29" s="260">
        <v>34.224294999999998</v>
      </c>
      <c r="O29" s="260">
        <v>34.256585000000001</v>
      </c>
      <c r="P29" s="260">
        <v>34.288652999999996</v>
      </c>
      <c r="Q29" s="260">
        <v>34.320515999999998</v>
      </c>
      <c r="R29" s="260">
        <v>34.352190999999998</v>
      </c>
      <c r="S29" s="260">
        <v>34.383690999999999</v>
      </c>
      <c r="T29" s="260">
        <v>34.415028</v>
      </c>
      <c r="U29" s="260">
        <v>34.446208999999996</v>
      </c>
      <c r="V29" s="260">
        <v>34.477240999999999</v>
      </c>
      <c r="W29" s="260">
        <v>34.508125</v>
      </c>
      <c r="X29" s="260">
        <v>34.538862000000002</v>
      </c>
      <c r="Y29" s="260">
        <v>34.569451000000001</v>
      </c>
      <c r="Z29" s="260">
        <v>34.599893000000002</v>
      </c>
      <c r="AA29" s="260">
        <v>34.630186999999999</v>
      </c>
      <c r="AB29" s="260">
        <v>34.660333999999999</v>
      </c>
      <c r="AC29" s="260">
        <v>34.690334</v>
      </c>
      <c r="AD29" s="260">
        <v>34.720185999999998</v>
      </c>
      <c r="AE29" s="260">
        <v>34.749891999999996</v>
      </c>
      <c r="AF29" s="260">
        <v>34.779451000000002</v>
      </c>
      <c r="AG29" s="260">
        <v>34.808862999999995</v>
      </c>
      <c r="AH29" s="260">
        <v>34.838128999999995</v>
      </c>
      <c r="AI29" s="260">
        <v>34.867247999999996</v>
      </c>
      <c r="AJ29" s="260">
        <v>34.896220999999997</v>
      </c>
      <c r="AK29" s="260">
        <v>34.925046999999999</v>
      </c>
      <c r="AL29" s="260">
        <v>34.953727999999998</v>
      </c>
      <c r="AM29" s="260">
        <v>34.982262999999996</v>
      </c>
      <c r="AN29" s="260">
        <v>35.010652</v>
      </c>
      <c r="AO29" s="260">
        <v>35.038896000000001</v>
      </c>
      <c r="AP29" s="260">
        <v>35.066994000000001</v>
      </c>
      <c r="AQ29" s="260">
        <v>35.094947999999995</v>
      </c>
      <c r="AR29" s="260">
        <v>35.122755999999995</v>
      </c>
      <c r="AS29" s="260">
        <v>35.150419999999997</v>
      </c>
      <c r="AT29" s="260">
        <v>35.17794</v>
      </c>
      <c r="AU29" s="260">
        <v>35.205314999999999</v>
      </c>
      <c r="AV29" s="260">
        <v>35.232545999999999</v>
      </c>
      <c r="AW29" s="260">
        <v>35.259633999999998</v>
      </c>
      <c r="AX29" s="260">
        <v>35.286577999999999</v>
      </c>
      <c r="AY29" s="260">
        <v>35.313378</v>
      </c>
      <c r="AZ29" s="260">
        <v>35.340035999999998</v>
      </c>
      <c r="BA29" s="260">
        <v>35.366551000000001</v>
      </c>
      <c r="BB29" s="260">
        <v>35.392924000000001</v>
      </c>
      <c r="BC29" s="260">
        <v>35.419154999999996</v>
      </c>
      <c r="BD29" s="260">
        <v>35.445242999999998</v>
      </c>
      <c r="BE29" s="260">
        <v>35.47119</v>
      </c>
      <c r="BF29" s="260">
        <v>35.496995999999996</v>
      </c>
      <c r="BG29" s="260">
        <v>35.522660999999999</v>
      </c>
      <c r="BH29" s="260">
        <v>35.548184999999997</v>
      </c>
      <c r="BI29" s="260">
        <v>35.573568999999999</v>
      </c>
      <c r="BJ29" s="260">
        <v>35.598813</v>
      </c>
      <c r="BK29" s="260">
        <v>35.623916999999999</v>
      </c>
      <c r="BL29" s="260">
        <v>35.648882</v>
      </c>
      <c r="BM29" s="260">
        <v>35.673707999999998</v>
      </c>
      <c r="BN29" s="260">
        <v>35.698394999999998</v>
      </c>
      <c r="BO29" s="260">
        <v>35.722943999999998</v>
      </c>
      <c r="BP29" s="260">
        <v>35.747354000000001</v>
      </c>
      <c r="BQ29" s="260">
        <v>35.771628</v>
      </c>
      <c r="BR29" s="260">
        <v>35.795763999999998</v>
      </c>
      <c r="BS29" s="260">
        <v>35.819763000000002</v>
      </c>
      <c r="BT29" s="260">
        <v>35.843624999999996</v>
      </c>
      <c r="BU29" s="260">
        <v>35.867351999999997</v>
      </c>
      <c r="BV29" s="260">
        <v>35.890943</v>
      </c>
      <c r="BW29" s="260">
        <v>35.914398999999996</v>
      </c>
      <c r="BX29" s="260">
        <v>35.937719000000001</v>
      </c>
      <c r="BY29" s="260">
        <v>35.960906000000001</v>
      </c>
      <c r="BZ29" s="260">
        <v>35.983958000000001</v>
      </c>
      <c r="CA29" s="260">
        <v>36.006875999999998</v>
      </c>
      <c r="CB29" s="260">
        <v>36.029660999999997</v>
      </c>
      <c r="CC29" s="260">
        <v>36.052313999999996</v>
      </c>
      <c r="CD29" s="260">
        <v>36.074832999999998</v>
      </c>
      <c r="CE29" s="260">
        <v>36.097220999999998</v>
      </c>
      <c r="CF29" s="260">
        <v>36.119478000000001</v>
      </c>
      <c r="CG29" s="260">
        <v>36.141602999999996</v>
      </c>
      <c r="CH29" s="260">
        <v>36.163598</v>
      </c>
    </row>
    <row r="30" spans="1:86" x14ac:dyDescent="0.25">
      <c r="A30" s="170">
        <v>1</v>
      </c>
      <c r="B30" s="170">
        <v>29</v>
      </c>
      <c r="C30" s="259">
        <v>33.975738525390625</v>
      </c>
      <c r="D30" s="259">
        <v>34.025920867919922</v>
      </c>
      <c r="E30" s="259">
        <v>34.075309753417969</v>
      </c>
      <c r="F30" s="259">
        <v>34.123928070068359</v>
      </c>
      <c r="G30" s="259">
        <v>34.171779632568359</v>
      </c>
      <c r="H30" s="259">
        <v>34.218883514404297</v>
      </c>
      <c r="I30" s="260">
        <v>33.729317999999999</v>
      </c>
      <c r="J30" s="260">
        <v>33.763481999999996</v>
      </c>
      <c r="K30" s="260">
        <v>33.797333999999999</v>
      </c>
      <c r="L30" s="260">
        <v>33.830891999999999</v>
      </c>
      <c r="M30" s="260">
        <v>33.864173999999998</v>
      </c>
      <c r="N30" s="260">
        <v>33.897199000000001</v>
      </c>
      <c r="O30" s="260">
        <v>33.929986</v>
      </c>
      <c r="P30" s="260">
        <v>33.962551999999995</v>
      </c>
      <c r="Q30" s="260">
        <v>33.994914999999999</v>
      </c>
      <c r="R30" s="260">
        <v>34.027088999999997</v>
      </c>
      <c r="S30" s="260">
        <v>34.059086999999998</v>
      </c>
      <c r="T30" s="260">
        <v>34.090921999999999</v>
      </c>
      <c r="U30" s="260">
        <v>34.122602000000001</v>
      </c>
      <c r="V30" s="260">
        <v>34.154131</v>
      </c>
      <c r="W30" s="260">
        <v>34.185511999999996</v>
      </c>
      <c r="X30" s="260">
        <v>34.216744999999996</v>
      </c>
      <c r="Y30" s="260">
        <v>34.247828999999996</v>
      </c>
      <c r="Z30" s="260">
        <v>34.278765</v>
      </c>
      <c r="AA30" s="260">
        <v>34.309553000000001</v>
      </c>
      <c r="AB30" s="260">
        <v>34.340192999999999</v>
      </c>
      <c r="AC30" s="260">
        <v>34.370685000000002</v>
      </c>
      <c r="AD30" s="260">
        <v>34.401029999999999</v>
      </c>
      <c r="AE30" s="260">
        <v>34.431225999999995</v>
      </c>
      <c r="AF30" s="260">
        <v>34.461273999999996</v>
      </c>
      <c r="AG30" s="260">
        <v>34.491174999999998</v>
      </c>
      <c r="AH30" s="260">
        <v>34.520928999999995</v>
      </c>
      <c r="AI30" s="260">
        <v>34.550534999999996</v>
      </c>
      <c r="AJ30" s="260">
        <v>34.579993999999999</v>
      </c>
      <c r="AK30" s="260">
        <v>34.609304999999999</v>
      </c>
      <c r="AL30" s="260">
        <v>34.638469999999998</v>
      </c>
      <c r="AM30" s="260">
        <v>34.667487999999999</v>
      </c>
      <c r="AN30" s="260">
        <v>34.696359000000001</v>
      </c>
      <c r="AO30" s="260">
        <v>34.725083999999995</v>
      </c>
      <c r="AP30" s="260">
        <v>34.753661999999998</v>
      </c>
      <c r="AQ30" s="260">
        <v>34.782094000000001</v>
      </c>
      <c r="AR30" s="260">
        <v>34.810379999999995</v>
      </c>
      <c r="AS30" s="260">
        <v>34.838519999999995</v>
      </c>
      <c r="AT30" s="260">
        <v>34.866515</v>
      </c>
      <c r="AU30" s="260">
        <v>34.894363999999996</v>
      </c>
      <c r="AV30" s="260">
        <v>34.922067999999996</v>
      </c>
      <c r="AW30" s="260">
        <v>34.949627999999997</v>
      </c>
      <c r="AX30" s="260">
        <v>34.977041999999997</v>
      </c>
      <c r="AY30" s="260">
        <v>35.004311999999999</v>
      </c>
      <c r="AZ30" s="260">
        <v>35.031438000000001</v>
      </c>
      <c r="BA30" s="260">
        <v>35.058419999999998</v>
      </c>
      <c r="BB30" s="260">
        <v>35.085257999999996</v>
      </c>
      <c r="BC30" s="260">
        <v>35.111951999999995</v>
      </c>
      <c r="BD30" s="260">
        <v>35.138503999999998</v>
      </c>
      <c r="BE30" s="260">
        <v>35.164912000000001</v>
      </c>
      <c r="BF30" s="260">
        <v>35.191178000000001</v>
      </c>
      <c r="BG30" s="260">
        <v>35.217300999999999</v>
      </c>
      <c r="BH30" s="260">
        <v>35.243282999999998</v>
      </c>
      <c r="BI30" s="260">
        <v>35.269123</v>
      </c>
      <c r="BJ30" s="260">
        <v>35.294820999999999</v>
      </c>
      <c r="BK30" s="260">
        <v>35.320377999999998</v>
      </c>
      <c r="BL30" s="260">
        <v>35.345793999999998</v>
      </c>
      <c r="BM30" s="260">
        <v>35.371069999999996</v>
      </c>
      <c r="BN30" s="260">
        <v>35.396205999999999</v>
      </c>
      <c r="BO30" s="260">
        <v>35.421202000000001</v>
      </c>
      <c r="BP30" s="260">
        <v>35.446058999999998</v>
      </c>
      <c r="BQ30" s="260">
        <v>35.470776000000001</v>
      </c>
      <c r="BR30" s="260">
        <v>35.495354999999996</v>
      </c>
      <c r="BS30" s="260">
        <v>35.519794999999995</v>
      </c>
      <c r="BT30" s="260">
        <v>35.544097000000001</v>
      </c>
      <c r="BU30" s="260">
        <v>35.568261999999997</v>
      </c>
      <c r="BV30" s="260">
        <v>35.592289000000001</v>
      </c>
      <c r="BW30" s="260">
        <v>35.61618</v>
      </c>
      <c r="BX30" s="260">
        <v>35.639933999999997</v>
      </c>
      <c r="BY30" s="260">
        <v>35.663551999999996</v>
      </c>
      <c r="BZ30" s="260">
        <v>35.687035000000002</v>
      </c>
      <c r="CA30" s="260">
        <v>35.710381999999996</v>
      </c>
      <c r="CB30" s="260">
        <v>35.733593999999997</v>
      </c>
      <c r="CC30" s="260">
        <v>35.756670999999997</v>
      </c>
      <c r="CD30" s="260">
        <v>35.779615</v>
      </c>
      <c r="CE30" s="260">
        <v>35.802424999999999</v>
      </c>
      <c r="CF30" s="260">
        <v>35.825102000000001</v>
      </c>
      <c r="CG30" s="260">
        <v>35.847645999999997</v>
      </c>
      <c r="CH30" s="260">
        <v>35.870058</v>
      </c>
    </row>
    <row r="31" spans="1:86" x14ac:dyDescent="0.25">
      <c r="A31" s="170">
        <v>1</v>
      </c>
      <c r="B31" s="170">
        <v>30</v>
      </c>
      <c r="C31" s="259">
        <v>33.619190216064453</v>
      </c>
      <c r="D31" s="259">
        <v>33.670604705810547</v>
      </c>
      <c r="E31" s="259">
        <v>33.721214294433594</v>
      </c>
      <c r="F31" s="259">
        <v>33.771026611328125</v>
      </c>
      <c r="G31" s="259">
        <v>33.820056915283203</v>
      </c>
      <c r="H31" s="259">
        <v>33.868320465087891</v>
      </c>
      <c r="I31" s="260">
        <v>33.393155999999998</v>
      </c>
      <c r="J31" s="260">
        <v>33.427807000000001</v>
      </c>
      <c r="K31" s="260">
        <v>33.462150999999999</v>
      </c>
      <c r="L31" s="260">
        <v>33.496203999999999</v>
      </c>
      <c r="M31" s="260">
        <v>33.529984999999996</v>
      </c>
      <c r="N31" s="260">
        <v>33.563511999999996</v>
      </c>
      <c r="O31" s="260">
        <v>33.596803000000001</v>
      </c>
      <c r="P31" s="260">
        <v>33.629874000000001</v>
      </c>
      <c r="Q31" s="260">
        <v>33.662742000000001</v>
      </c>
      <c r="R31" s="260">
        <v>33.695422000000001</v>
      </c>
      <c r="S31" s="260">
        <v>33.727927000000001</v>
      </c>
      <c r="T31" s="260">
        <v>33.760266999999999</v>
      </c>
      <c r="U31" s="260">
        <v>33.792451999999997</v>
      </c>
      <c r="V31" s="260">
        <v>33.824486</v>
      </c>
      <c r="W31" s="260">
        <v>33.856370999999996</v>
      </c>
      <c r="X31" s="260">
        <v>33.888106999999998</v>
      </c>
      <c r="Y31" s="260">
        <v>33.919694</v>
      </c>
      <c r="Z31" s="260">
        <v>33.951132000000001</v>
      </c>
      <c r="AA31" s="260">
        <v>33.982422</v>
      </c>
      <c r="AB31" s="260">
        <v>34.013562</v>
      </c>
      <c r="AC31" s="260">
        <v>34.044553999999998</v>
      </c>
      <c r="AD31" s="260">
        <v>34.075396999999995</v>
      </c>
      <c r="AE31" s="260">
        <v>34.106091999999997</v>
      </c>
      <c r="AF31" s="260">
        <v>34.136637999999998</v>
      </c>
      <c r="AG31" s="260">
        <v>34.167034999999998</v>
      </c>
      <c r="AH31" s="260">
        <v>34.197283999999996</v>
      </c>
      <c r="AI31" s="260">
        <v>34.227384999999998</v>
      </c>
      <c r="AJ31" s="260">
        <v>34.257337</v>
      </c>
      <c r="AK31" s="260">
        <v>34.287141999999996</v>
      </c>
      <c r="AL31" s="260">
        <v>34.316797999999999</v>
      </c>
      <c r="AM31" s="260">
        <v>34.346305999999998</v>
      </c>
      <c r="AN31" s="260">
        <v>34.375667</v>
      </c>
      <c r="AO31" s="260">
        <v>34.404880999999996</v>
      </c>
      <c r="AP31" s="260">
        <v>34.433945999999999</v>
      </c>
      <c r="AQ31" s="260">
        <v>34.462865000000001</v>
      </c>
      <c r="AR31" s="260">
        <v>34.491636</v>
      </c>
      <c r="AS31" s="260">
        <v>34.520260999999998</v>
      </c>
      <c r="AT31" s="260">
        <v>34.548738999999998</v>
      </c>
      <c r="AU31" s="260">
        <v>34.577069999999999</v>
      </c>
      <c r="AV31" s="260">
        <v>34.605255</v>
      </c>
      <c r="AW31" s="260">
        <v>34.633293000000002</v>
      </c>
      <c r="AX31" s="260">
        <v>34.661186000000001</v>
      </c>
      <c r="AY31" s="260">
        <v>34.688932999999999</v>
      </c>
      <c r="AZ31" s="260">
        <v>34.716535</v>
      </c>
      <c r="BA31" s="260">
        <v>34.743991000000001</v>
      </c>
      <c r="BB31" s="260">
        <v>34.771302999999996</v>
      </c>
      <c r="BC31" s="260">
        <v>34.798468999999997</v>
      </c>
      <c r="BD31" s="260">
        <v>34.825491</v>
      </c>
      <c r="BE31" s="260">
        <v>34.852368999999996</v>
      </c>
      <c r="BF31" s="260">
        <v>34.879103000000001</v>
      </c>
      <c r="BG31" s="260">
        <v>34.905692999999999</v>
      </c>
      <c r="BH31" s="260">
        <v>34.932138999999999</v>
      </c>
      <c r="BI31" s="260">
        <v>34.958442999999995</v>
      </c>
      <c r="BJ31" s="260">
        <v>34.984603999999997</v>
      </c>
      <c r="BK31" s="260">
        <v>35.010621999999998</v>
      </c>
      <c r="BL31" s="260">
        <v>35.036498000000002</v>
      </c>
      <c r="BM31" s="260">
        <v>35.062232000000002</v>
      </c>
      <c r="BN31" s="260">
        <v>35.087823999999998</v>
      </c>
      <c r="BO31" s="260">
        <v>35.113275000000002</v>
      </c>
      <c r="BP31" s="260">
        <v>35.138584999999999</v>
      </c>
      <c r="BQ31" s="260">
        <v>35.163755000000002</v>
      </c>
      <c r="BR31" s="260">
        <v>35.188783999999998</v>
      </c>
      <c r="BS31" s="260">
        <v>35.213673999999997</v>
      </c>
      <c r="BT31" s="260">
        <v>35.238423999999995</v>
      </c>
      <c r="BU31" s="260">
        <v>35.263033999999998</v>
      </c>
      <c r="BV31" s="260">
        <v>35.287506</v>
      </c>
      <c r="BW31" s="260">
        <v>35.311839999999997</v>
      </c>
      <c r="BX31" s="260">
        <v>35.336034999999995</v>
      </c>
      <c r="BY31" s="260">
        <v>35.360092999999999</v>
      </c>
      <c r="BZ31" s="260">
        <v>35.384012999999996</v>
      </c>
      <c r="CA31" s="260">
        <v>35.407796999999995</v>
      </c>
      <c r="CB31" s="260">
        <v>35.431443999999999</v>
      </c>
      <c r="CC31" s="260">
        <v>35.454954999999998</v>
      </c>
      <c r="CD31" s="260">
        <v>35.47833</v>
      </c>
      <c r="CE31" s="260">
        <v>35.501570000000001</v>
      </c>
      <c r="CF31" s="260">
        <v>35.524675999999999</v>
      </c>
      <c r="CG31" s="260">
        <v>35.547646999999998</v>
      </c>
      <c r="CH31" s="260">
        <v>35.570482999999996</v>
      </c>
    </row>
    <row r="32" spans="1:86" x14ac:dyDescent="0.25">
      <c r="A32" s="170">
        <v>1</v>
      </c>
      <c r="B32" s="170">
        <v>31</v>
      </c>
      <c r="C32" s="259">
        <v>33.254352569580078</v>
      </c>
      <c r="D32" s="259">
        <v>33.306991577148438</v>
      </c>
      <c r="E32" s="259">
        <v>33.358802795410156</v>
      </c>
      <c r="F32" s="259">
        <v>33.409801483154297</v>
      </c>
      <c r="G32" s="259">
        <v>33.460006713867188</v>
      </c>
      <c r="H32" s="259">
        <v>33.509429931640625</v>
      </c>
      <c r="I32" s="260">
        <v>33.050146999999996</v>
      </c>
      <c r="J32" s="260">
        <v>33.085291999999995</v>
      </c>
      <c r="K32" s="260">
        <v>33.120134999999998</v>
      </c>
      <c r="L32" s="260">
        <v>33.154691</v>
      </c>
      <c r="M32" s="260">
        <v>33.188977999999999</v>
      </c>
      <c r="N32" s="260">
        <v>33.223013999999999</v>
      </c>
      <c r="O32" s="260">
        <v>33.256816000000001</v>
      </c>
      <c r="P32" s="260">
        <v>33.290399999999998</v>
      </c>
      <c r="Q32" s="260">
        <v>33.323782000000001</v>
      </c>
      <c r="R32" s="260">
        <v>33.356975999999996</v>
      </c>
      <c r="S32" s="260">
        <v>33.389994999999999</v>
      </c>
      <c r="T32" s="260">
        <v>33.422848999999999</v>
      </c>
      <c r="U32" s="260">
        <v>33.455546999999996</v>
      </c>
      <c r="V32" s="260">
        <v>33.488093999999997</v>
      </c>
      <c r="W32" s="260">
        <v>33.520491</v>
      </c>
      <c r="X32" s="260">
        <v>33.552738999999995</v>
      </c>
      <c r="Y32" s="260">
        <v>33.584837</v>
      </c>
      <c r="Z32" s="260">
        <v>33.616785999999998</v>
      </c>
      <c r="AA32" s="260">
        <v>33.648584999999997</v>
      </c>
      <c r="AB32" s="260">
        <v>33.680233999999999</v>
      </c>
      <c r="AC32" s="260">
        <v>33.711734</v>
      </c>
      <c r="AD32" s="260">
        <v>33.743085000000001</v>
      </c>
      <c r="AE32" s="260">
        <v>33.774285999999996</v>
      </c>
      <c r="AF32" s="260">
        <v>33.805337000000002</v>
      </c>
      <c r="AG32" s="260">
        <v>33.836238999999999</v>
      </c>
      <c r="AH32" s="260">
        <v>33.866991999999996</v>
      </c>
      <c r="AI32" s="260">
        <v>33.897596</v>
      </c>
      <c r="AJ32" s="260">
        <v>33.928050999999996</v>
      </c>
      <c r="AK32" s="260">
        <v>33.958356000000002</v>
      </c>
      <c r="AL32" s="260">
        <v>33.988512999999998</v>
      </c>
      <c r="AM32" s="260">
        <v>34.018519999999995</v>
      </c>
      <c r="AN32" s="260">
        <v>34.048378999999997</v>
      </c>
      <c r="AO32" s="260">
        <v>34.078089999999996</v>
      </c>
      <c r="AP32" s="260">
        <v>34.107652000000002</v>
      </c>
      <c r="AQ32" s="260">
        <v>34.137065</v>
      </c>
      <c r="AR32" s="260">
        <v>34.166329999999995</v>
      </c>
      <c r="AS32" s="260">
        <v>34.195447999999999</v>
      </c>
      <c r="AT32" s="260">
        <v>34.224416999999995</v>
      </c>
      <c r="AU32" s="260">
        <v>34.253239000000001</v>
      </c>
      <c r="AV32" s="260">
        <v>34.281912999999996</v>
      </c>
      <c r="AW32" s="260">
        <v>34.31044</v>
      </c>
      <c r="AX32" s="260">
        <v>34.338819999999998</v>
      </c>
      <c r="AY32" s="260">
        <v>34.367052000000001</v>
      </c>
      <c r="AZ32" s="260">
        <v>34.395137999999996</v>
      </c>
      <c r="BA32" s="260">
        <v>34.423077999999997</v>
      </c>
      <c r="BB32" s="260">
        <v>34.450870999999999</v>
      </c>
      <c r="BC32" s="260">
        <v>34.478518000000001</v>
      </c>
      <c r="BD32" s="260">
        <v>34.506018999999995</v>
      </c>
      <c r="BE32" s="260">
        <v>34.533374999999999</v>
      </c>
      <c r="BF32" s="260">
        <v>34.560584999999996</v>
      </c>
      <c r="BG32" s="260">
        <v>34.587651000000001</v>
      </c>
      <c r="BH32" s="260">
        <v>34.614570999999998</v>
      </c>
      <c r="BI32" s="260">
        <v>34.641346999999996</v>
      </c>
      <c r="BJ32" s="260">
        <v>34.667978999999995</v>
      </c>
      <c r="BK32" s="260">
        <v>34.694465999999998</v>
      </c>
      <c r="BL32" s="260">
        <v>34.72081</v>
      </c>
      <c r="BM32" s="260">
        <v>34.747011000000001</v>
      </c>
      <c r="BN32" s="260">
        <v>34.773069</v>
      </c>
      <c r="BO32" s="260">
        <v>34.798983999999997</v>
      </c>
      <c r="BP32" s="260">
        <v>34.824756000000001</v>
      </c>
      <c r="BQ32" s="260">
        <v>34.850386</v>
      </c>
      <c r="BR32" s="260">
        <v>34.875875000000001</v>
      </c>
      <c r="BS32" s="260">
        <v>34.901221999999997</v>
      </c>
      <c r="BT32" s="260">
        <v>34.926428000000001</v>
      </c>
      <c r="BU32" s="260">
        <v>34.951492999999999</v>
      </c>
      <c r="BV32" s="260">
        <v>34.976417999999995</v>
      </c>
      <c r="BW32" s="260">
        <v>35.001202999999997</v>
      </c>
      <c r="BX32" s="260">
        <v>35.025847999999996</v>
      </c>
      <c r="BY32" s="260">
        <v>35.050353999999999</v>
      </c>
      <c r="BZ32" s="260">
        <v>35.074722000000001</v>
      </c>
      <c r="CA32" s="260">
        <v>35.098949999999995</v>
      </c>
      <c r="CB32" s="260">
        <v>35.123041000000001</v>
      </c>
      <c r="CC32" s="260">
        <v>35.146993000000002</v>
      </c>
      <c r="CD32" s="260">
        <v>35.170808999999998</v>
      </c>
      <c r="CE32" s="260">
        <v>35.194486999999995</v>
      </c>
      <c r="CF32" s="260">
        <v>35.218029000000001</v>
      </c>
      <c r="CG32" s="260">
        <v>35.241434999999996</v>
      </c>
      <c r="CH32" s="260">
        <v>35.264705999999997</v>
      </c>
    </row>
    <row r="33" spans="1:86" x14ac:dyDescent="0.25">
      <c r="A33" s="170">
        <v>1</v>
      </c>
      <c r="B33" s="170">
        <v>32</v>
      </c>
      <c r="C33" s="259">
        <v>32.881446838378906</v>
      </c>
      <c r="D33" s="259">
        <v>32.935337066650391</v>
      </c>
      <c r="E33" s="259">
        <v>32.988384246826172</v>
      </c>
      <c r="F33" s="259">
        <v>33.040603637695313</v>
      </c>
      <c r="G33" s="259">
        <v>33.092010498046875</v>
      </c>
      <c r="H33" s="259">
        <v>33.142616271972656</v>
      </c>
      <c r="I33" s="260">
        <v>32.700514999999996</v>
      </c>
      <c r="J33" s="260">
        <v>32.736159000000001</v>
      </c>
      <c r="K33" s="260">
        <v>32.771502999999996</v>
      </c>
      <c r="L33" s="260">
        <v>32.806565999999997</v>
      </c>
      <c r="M33" s="260">
        <v>32.841363000000001</v>
      </c>
      <c r="N33" s="260">
        <v>32.875912999999997</v>
      </c>
      <c r="O33" s="260">
        <v>32.910229999999999</v>
      </c>
      <c r="P33" s="260">
        <v>32.944330999999998</v>
      </c>
      <c r="Q33" s="260">
        <v>32.978231000000001</v>
      </c>
      <c r="R33" s="260">
        <v>33.011944</v>
      </c>
      <c r="S33" s="260">
        <v>33.045482999999997</v>
      </c>
      <c r="T33" s="260">
        <v>33.078856000000002</v>
      </c>
      <c r="U33" s="260">
        <v>33.112072999999995</v>
      </c>
      <c r="V33" s="260">
        <v>33.145137999999996</v>
      </c>
      <c r="W33" s="260">
        <v>33.178052999999998</v>
      </c>
      <c r="X33" s="260">
        <v>33.210817999999996</v>
      </c>
      <c r="Y33" s="260">
        <v>33.243432999999996</v>
      </c>
      <c r="Z33" s="260">
        <v>33.275897000000001</v>
      </c>
      <c r="AA33" s="260">
        <v>33.308211</v>
      </c>
      <c r="AB33" s="260">
        <v>33.340375000000002</v>
      </c>
      <c r="AC33" s="260">
        <v>33.372388999999998</v>
      </c>
      <c r="AD33" s="260">
        <v>33.404252999999997</v>
      </c>
      <c r="AE33" s="260">
        <v>33.435966000000001</v>
      </c>
      <c r="AF33" s="260">
        <v>33.467528999999999</v>
      </c>
      <c r="AG33" s="260">
        <v>33.498942</v>
      </c>
      <c r="AH33" s="260">
        <v>33.530204999999995</v>
      </c>
      <c r="AI33" s="260">
        <v>33.561316999999995</v>
      </c>
      <c r="AJ33" s="260">
        <v>33.592279999999995</v>
      </c>
      <c r="AK33" s="260">
        <v>33.623092999999997</v>
      </c>
      <c r="AL33" s="260">
        <v>33.653754999999997</v>
      </c>
      <c r="AM33" s="260">
        <v>33.684267999999996</v>
      </c>
      <c r="AN33" s="260">
        <v>33.714632000000002</v>
      </c>
      <c r="AO33" s="260">
        <v>33.744844999999998</v>
      </c>
      <c r="AP33" s="260">
        <v>33.774909000000001</v>
      </c>
      <c r="AQ33" s="260">
        <v>33.804823999999996</v>
      </c>
      <c r="AR33" s="260">
        <v>33.834589999999999</v>
      </c>
      <c r="AS33" s="260">
        <v>33.864205999999996</v>
      </c>
      <c r="AT33" s="260">
        <v>33.893673999999997</v>
      </c>
      <c r="AU33" s="260">
        <v>33.922992000000001</v>
      </c>
      <c r="AV33" s="260">
        <v>33.952162000000001</v>
      </c>
      <c r="AW33" s="260">
        <v>33.981183000000001</v>
      </c>
      <c r="AX33" s="260">
        <v>34.010055999999999</v>
      </c>
      <c r="AY33" s="260">
        <v>34.038781</v>
      </c>
      <c r="AZ33" s="260">
        <v>34.067357999999999</v>
      </c>
      <c r="BA33" s="260">
        <v>34.095787000000001</v>
      </c>
      <c r="BB33" s="260">
        <v>34.124068999999999</v>
      </c>
      <c r="BC33" s="260">
        <v>34.152203</v>
      </c>
      <c r="BD33" s="260">
        <v>34.180189999999996</v>
      </c>
      <c r="BE33" s="260">
        <v>34.208030000000001</v>
      </c>
      <c r="BF33" s="260">
        <v>34.235723999999998</v>
      </c>
      <c r="BG33" s="260">
        <v>34.263270999999996</v>
      </c>
      <c r="BH33" s="260">
        <v>34.290672000000001</v>
      </c>
      <c r="BI33" s="260">
        <v>34.317926999999997</v>
      </c>
      <c r="BJ33" s="260">
        <v>34.345036</v>
      </c>
      <c r="BK33" s="260">
        <v>34.372</v>
      </c>
      <c r="BL33" s="260">
        <v>34.398818999999996</v>
      </c>
      <c r="BM33" s="260">
        <v>34.425492999999996</v>
      </c>
      <c r="BN33" s="260">
        <v>34.452022999999997</v>
      </c>
      <c r="BO33" s="260">
        <v>34.478408000000002</v>
      </c>
      <c r="BP33" s="260">
        <v>34.504649999999998</v>
      </c>
      <c r="BQ33" s="260">
        <v>34.530747999999996</v>
      </c>
      <c r="BR33" s="260">
        <v>34.556702000000001</v>
      </c>
      <c r="BS33" s="260">
        <v>34.582513999999996</v>
      </c>
      <c r="BT33" s="260">
        <v>34.608182999999997</v>
      </c>
      <c r="BU33" s="260">
        <v>34.633708999999996</v>
      </c>
      <c r="BV33" s="260">
        <v>34.659093999999996</v>
      </c>
      <c r="BW33" s="260">
        <v>34.684336999999999</v>
      </c>
      <c r="BX33" s="260">
        <v>34.709438999999996</v>
      </c>
      <c r="BY33" s="260">
        <v>34.734400000000001</v>
      </c>
      <c r="BZ33" s="260">
        <v>34.759220999999997</v>
      </c>
      <c r="CA33" s="260">
        <v>34.783901999999998</v>
      </c>
      <c r="CB33" s="260">
        <v>34.808441999999999</v>
      </c>
      <c r="CC33" s="260">
        <v>34.832844000000001</v>
      </c>
      <c r="CD33" s="260">
        <v>34.857106000000002</v>
      </c>
      <c r="CE33" s="260">
        <v>34.881229999999995</v>
      </c>
      <c r="CF33" s="260">
        <v>34.905215999999996</v>
      </c>
      <c r="CG33" s="260">
        <v>34.929063999999997</v>
      </c>
      <c r="CH33" s="260">
        <v>34.952773999999998</v>
      </c>
    </row>
    <row r="34" spans="1:86" x14ac:dyDescent="0.25">
      <c r="A34" s="170">
        <v>1</v>
      </c>
      <c r="B34" s="170">
        <v>33</v>
      </c>
      <c r="C34" s="259">
        <v>32.500484466552734</v>
      </c>
      <c r="D34" s="259">
        <v>32.555656433105469</v>
      </c>
      <c r="E34" s="259">
        <v>32.609966278076172</v>
      </c>
      <c r="F34" s="259">
        <v>32.663429260253906</v>
      </c>
      <c r="G34" s="259">
        <v>32.716068267822266</v>
      </c>
      <c r="H34" s="259">
        <v>32.767887115478516</v>
      </c>
      <c r="I34" s="260">
        <v>32.344508999999995</v>
      </c>
      <c r="J34" s="260">
        <v>32.380651</v>
      </c>
      <c r="K34" s="260">
        <v>32.416497</v>
      </c>
      <c r="L34" s="260">
        <v>32.452066000000002</v>
      </c>
      <c r="M34" s="260">
        <v>32.487372999999998</v>
      </c>
      <c r="N34" s="260">
        <v>32.522435000000002</v>
      </c>
      <c r="O34" s="260">
        <v>32.557268000000001</v>
      </c>
      <c r="P34" s="260">
        <v>32.591887999999997</v>
      </c>
      <c r="Q34" s="260">
        <v>32.626308000000002</v>
      </c>
      <c r="R34" s="260">
        <v>32.660542</v>
      </c>
      <c r="S34" s="260">
        <v>32.694600999999999</v>
      </c>
      <c r="T34" s="260">
        <v>32.728496</v>
      </c>
      <c r="U34" s="260">
        <v>32.762233999999999</v>
      </c>
      <c r="V34" s="260">
        <v>32.795819999999999</v>
      </c>
      <c r="W34" s="260">
        <v>32.829254999999996</v>
      </c>
      <c r="X34" s="260">
        <v>32.862539999999996</v>
      </c>
      <c r="Y34" s="260">
        <v>32.895672999999995</v>
      </c>
      <c r="Z34" s="260">
        <v>32.928657000000001</v>
      </c>
      <c r="AA34" s="260">
        <v>32.961489</v>
      </c>
      <c r="AB34" s="260">
        <v>32.994169999999997</v>
      </c>
      <c r="AC34" s="260">
        <v>33.026700999999996</v>
      </c>
      <c r="AD34" s="260">
        <v>33.059080000000002</v>
      </c>
      <c r="AE34" s="260">
        <v>33.091308999999995</v>
      </c>
      <c r="AF34" s="260">
        <v>33.123385999999996</v>
      </c>
      <c r="AG34" s="260">
        <v>33.155313</v>
      </c>
      <c r="AH34" s="260">
        <v>33.187089</v>
      </c>
      <c r="AI34" s="260">
        <v>33.218713999999999</v>
      </c>
      <c r="AJ34" s="260">
        <v>33.250188000000001</v>
      </c>
      <c r="AK34" s="260">
        <v>33.281511999999999</v>
      </c>
      <c r="AL34" s="260">
        <v>33.312683999999997</v>
      </c>
      <c r="AM34" s="260">
        <v>33.343705999999997</v>
      </c>
      <c r="AN34" s="260">
        <v>33.374576999999995</v>
      </c>
      <c r="AO34" s="260">
        <v>33.405298000000002</v>
      </c>
      <c r="AP34" s="260">
        <v>33.435867999999999</v>
      </c>
      <c r="AQ34" s="260">
        <v>33.466287999999999</v>
      </c>
      <c r="AR34" s="260">
        <v>33.496556999999996</v>
      </c>
      <c r="AS34" s="260">
        <v>33.526676999999999</v>
      </c>
      <c r="AT34" s="260">
        <v>33.556646000000001</v>
      </c>
      <c r="AU34" s="260">
        <v>33.586464999999997</v>
      </c>
      <c r="AV34" s="260">
        <v>33.616135</v>
      </c>
      <c r="AW34" s="260">
        <v>33.645654999999998</v>
      </c>
      <c r="AX34" s="260">
        <v>33.675025999999995</v>
      </c>
      <c r="AY34" s="260">
        <v>33.704246999999995</v>
      </c>
      <c r="AZ34" s="260">
        <v>33.733319000000002</v>
      </c>
      <c r="BA34" s="260">
        <v>33.762242000000001</v>
      </c>
      <c r="BB34" s="260">
        <v>33.791015999999999</v>
      </c>
      <c r="BC34" s="260">
        <v>33.819642000000002</v>
      </c>
      <c r="BD34" s="260">
        <v>33.848118999999997</v>
      </c>
      <c r="BE34" s="260">
        <v>33.876449000000001</v>
      </c>
      <c r="BF34" s="260">
        <v>33.904629999999997</v>
      </c>
      <c r="BG34" s="260">
        <v>33.932662999999998</v>
      </c>
      <c r="BH34" s="260">
        <v>33.960549</v>
      </c>
      <c r="BI34" s="260">
        <v>33.988287999999997</v>
      </c>
      <c r="BJ34" s="260">
        <v>34.015879999999996</v>
      </c>
      <c r="BK34" s="260">
        <v>34.043324999999996</v>
      </c>
      <c r="BL34" s="260">
        <v>34.070622999999998</v>
      </c>
      <c r="BM34" s="260">
        <v>34.097774999999999</v>
      </c>
      <c r="BN34" s="260">
        <v>34.124781999999996</v>
      </c>
      <c r="BO34" s="260">
        <v>34.151641999999995</v>
      </c>
      <c r="BP34" s="260">
        <v>34.178357999999996</v>
      </c>
      <c r="BQ34" s="260">
        <v>34.204927999999995</v>
      </c>
      <c r="BR34" s="260">
        <v>34.231352999999999</v>
      </c>
      <c r="BS34" s="260">
        <v>34.257633999999996</v>
      </c>
      <c r="BT34" s="260">
        <v>34.283771000000002</v>
      </c>
      <c r="BU34" s="260">
        <v>34.309764000000001</v>
      </c>
      <c r="BV34" s="260">
        <v>34.335614</v>
      </c>
      <c r="BW34" s="260">
        <v>34.361319999999999</v>
      </c>
      <c r="BX34" s="260">
        <v>34.386883999999995</v>
      </c>
      <c r="BY34" s="260">
        <v>34.412304999999996</v>
      </c>
      <c r="BZ34" s="260">
        <v>34.437584999999999</v>
      </c>
      <c r="CA34" s="260">
        <v>34.462721999999999</v>
      </c>
      <c r="CB34" s="260">
        <v>34.487718000000001</v>
      </c>
      <c r="CC34" s="260">
        <v>34.512574000000001</v>
      </c>
      <c r="CD34" s="260">
        <v>34.537287999999997</v>
      </c>
      <c r="CE34" s="260">
        <v>34.561862999999995</v>
      </c>
      <c r="CF34" s="260">
        <v>34.586297000000002</v>
      </c>
      <c r="CG34" s="260">
        <v>34.610591999999997</v>
      </c>
      <c r="CH34" s="260">
        <v>34.634748999999999</v>
      </c>
    </row>
    <row r="35" spans="1:86" x14ac:dyDescent="0.25">
      <c r="A35" s="170">
        <v>1</v>
      </c>
      <c r="B35" s="170">
        <v>34</v>
      </c>
      <c r="C35" s="259">
        <v>32.111549377441406</v>
      </c>
      <c r="D35" s="259">
        <v>32.168018341064453</v>
      </c>
      <c r="E35" s="259">
        <v>32.223613739013672</v>
      </c>
      <c r="F35" s="259">
        <v>32.278347015380859</v>
      </c>
      <c r="G35" s="259">
        <v>32.332233428955078</v>
      </c>
      <c r="H35" s="259">
        <v>32.385288238525391</v>
      </c>
      <c r="I35" s="260">
        <v>31.981940999999999</v>
      </c>
      <c r="J35" s="260">
        <v>32.018583</v>
      </c>
      <c r="K35" s="260">
        <v>32.054932999999998</v>
      </c>
      <c r="L35" s="260">
        <v>32.091009</v>
      </c>
      <c r="M35" s="260">
        <v>32.126826999999999</v>
      </c>
      <c r="N35" s="260">
        <v>32.162403999999995</v>
      </c>
      <c r="O35" s="260">
        <v>32.197753999999996</v>
      </c>
      <c r="P35" s="260">
        <v>32.232892999999997</v>
      </c>
      <c r="Q35" s="260">
        <v>32.267834000000001</v>
      </c>
      <c r="R35" s="260">
        <v>32.302591</v>
      </c>
      <c r="S35" s="260">
        <v>32.337173999999997</v>
      </c>
      <c r="T35" s="260">
        <v>32.371592999999997</v>
      </c>
      <c r="U35" s="260">
        <v>32.405854999999995</v>
      </c>
      <c r="V35" s="260">
        <v>32.439965000000001</v>
      </c>
      <c r="W35" s="260">
        <v>32.473922999999999</v>
      </c>
      <c r="X35" s="260">
        <v>32.507729999999995</v>
      </c>
      <c r="Y35" s="260">
        <v>32.541385999999996</v>
      </c>
      <c r="Z35" s="260">
        <v>32.574891000000001</v>
      </c>
      <c r="AA35" s="260">
        <v>32.608244999999997</v>
      </c>
      <c r="AB35" s="260">
        <v>32.641446999999999</v>
      </c>
      <c r="AC35" s="260">
        <v>32.674496999999995</v>
      </c>
      <c r="AD35" s="260">
        <v>32.707395999999996</v>
      </c>
      <c r="AE35" s="260">
        <v>32.740144000000001</v>
      </c>
      <c r="AF35" s="260">
        <v>32.772739999999999</v>
      </c>
      <c r="AG35" s="260">
        <v>32.805183999999997</v>
      </c>
      <c r="AH35" s="260">
        <v>32.837477</v>
      </c>
      <c r="AI35" s="260">
        <v>32.869617999999996</v>
      </c>
      <c r="AJ35" s="260">
        <v>32.901606999999998</v>
      </c>
      <c r="AK35" s="260">
        <v>32.933444999999999</v>
      </c>
      <c r="AL35" s="260">
        <v>32.965131</v>
      </c>
      <c r="AM35" s="260">
        <v>32.996665999999998</v>
      </c>
      <c r="AN35" s="260">
        <v>33.028048999999996</v>
      </c>
      <c r="AO35" s="260">
        <v>33.059280999999999</v>
      </c>
      <c r="AP35" s="260">
        <v>33.090361000000001</v>
      </c>
      <c r="AQ35" s="260">
        <v>33.121290000000002</v>
      </c>
      <c r="AR35" s="260">
        <v>33.152068</v>
      </c>
      <c r="AS35" s="260">
        <v>33.182694999999995</v>
      </c>
      <c r="AT35" s="260">
        <v>33.213169999999998</v>
      </c>
      <c r="AU35" s="260">
        <v>33.243494999999996</v>
      </c>
      <c r="AV35" s="260">
        <v>33.273668999999998</v>
      </c>
      <c r="AW35" s="260">
        <v>33.303691999999998</v>
      </c>
      <c r="AX35" s="260">
        <v>33.333565</v>
      </c>
      <c r="AY35" s="260">
        <v>33.363287</v>
      </c>
      <c r="AZ35" s="260">
        <v>33.392857999999997</v>
      </c>
      <c r="BA35" s="260">
        <v>33.422280000000001</v>
      </c>
      <c r="BB35" s="260">
        <v>33.451552</v>
      </c>
      <c r="BC35" s="260">
        <v>33.480674</v>
      </c>
      <c r="BD35" s="260">
        <v>33.509645999999996</v>
      </c>
      <c r="BE35" s="260">
        <v>33.538468999999999</v>
      </c>
      <c r="BF35" s="260">
        <v>33.567143000000002</v>
      </c>
      <c r="BG35" s="260">
        <v>33.595667999999996</v>
      </c>
      <c r="BH35" s="260">
        <v>33.624043999999998</v>
      </c>
      <c r="BI35" s="260">
        <v>33.652270999999999</v>
      </c>
      <c r="BJ35" s="260">
        <v>33.680349999999997</v>
      </c>
      <c r="BK35" s="260">
        <v>33.708280999999999</v>
      </c>
      <c r="BL35" s="260">
        <v>33.736063999999999</v>
      </c>
      <c r="BM35" s="260">
        <v>33.7637</v>
      </c>
      <c r="BN35" s="260">
        <v>33.791187999999998</v>
      </c>
      <c r="BO35" s="260">
        <v>33.818528999999998</v>
      </c>
      <c r="BP35" s="260">
        <v>33.845723999999997</v>
      </c>
      <c r="BQ35" s="260">
        <v>33.872771</v>
      </c>
      <c r="BR35" s="260">
        <v>33.899673</v>
      </c>
      <c r="BS35" s="260">
        <v>33.926428999999999</v>
      </c>
      <c r="BT35" s="260">
        <v>33.953038999999997</v>
      </c>
      <c r="BU35" s="260">
        <v>33.979503999999999</v>
      </c>
      <c r="BV35" s="260">
        <v>34.005823999999997</v>
      </c>
      <c r="BW35" s="260">
        <v>34.031998999999999</v>
      </c>
      <c r="BX35" s="260">
        <v>34.058029999999995</v>
      </c>
      <c r="BY35" s="260">
        <v>34.083917</v>
      </c>
      <c r="BZ35" s="260">
        <v>34.109659999999998</v>
      </c>
      <c r="CA35" s="260">
        <v>34.135259999999995</v>
      </c>
      <c r="CB35" s="260">
        <v>34.160716999999998</v>
      </c>
      <c r="CC35" s="260">
        <v>34.186031999999997</v>
      </c>
      <c r="CD35" s="260">
        <v>34.211203999999995</v>
      </c>
      <c r="CE35" s="260">
        <v>34.236235000000001</v>
      </c>
      <c r="CF35" s="260">
        <v>34.261123999999995</v>
      </c>
      <c r="CG35" s="260">
        <v>34.285871999999998</v>
      </c>
      <c r="CH35" s="260">
        <v>34.310479000000001</v>
      </c>
    </row>
    <row r="36" spans="1:86" x14ac:dyDescent="0.25">
      <c r="A36" s="170">
        <v>1</v>
      </c>
      <c r="B36" s="170">
        <v>35</v>
      </c>
      <c r="C36" s="259">
        <v>31.714666366577148</v>
      </c>
      <c r="D36" s="259">
        <v>31.772457122802734</v>
      </c>
      <c r="E36" s="259">
        <v>31.829353332519531</v>
      </c>
      <c r="F36" s="259">
        <v>31.885370254516602</v>
      </c>
      <c r="G36" s="259">
        <v>31.940523147583008</v>
      </c>
      <c r="H36" s="259">
        <v>31.994831085205078</v>
      </c>
      <c r="I36" s="260">
        <v>31.612258999999998</v>
      </c>
      <c r="J36" s="260">
        <v>31.64941</v>
      </c>
      <c r="K36" s="260">
        <v>31.686273</v>
      </c>
      <c r="L36" s="260">
        <v>31.722863999999998</v>
      </c>
      <c r="M36" s="260">
        <v>31.7592</v>
      </c>
      <c r="N36" s="260">
        <v>31.795296999999998</v>
      </c>
      <c r="O36" s="260">
        <v>31.831170999999998</v>
      </c>
      <c r="P36" s="260">
        <v>31.866834999999998</v>
      </c>
      <c r="Q36" s="260">
        <v>31.902303999999997</v>
      </c>
      <c r="R36" s="260">
        <v>31.93759</v>
      </c>
      <c r="S36" s="260">
        <v>31.972702999999999</v>
      </c>
      <c r="T36" s="260">
        <v>32.007650999999996</v>
      </c>
      <c r="U36" s="260">
        <v>32.042442999999999</v>
      </c>
      <c r="V36" s="260">
        <v>32.077081999999997</v>
      </c>
      <c r="W36" s="260">
        <v>32.11157</v>
      </c>
      <c r="X36" s="260">
        <v>32.145905999999997</v>
      </c>
      <c r="Y36" s="260">
        <v>32.180090999999997</v>
      </c>
      <c r="Z36" s="260">
        <v>32.214123999999998</v>
      </c>
      <c r="AA36" s="260">
        <v>32.248004999999999</v>
      </c>
      <c r="AB36" s="260">
        <v>32.281734</v>
      </c>
      <c r="AC36" s="260">
        <v>32.315311000000001</v>
      </c>
      <c r="AD36" s="260">
        <v>32.348735999999995</v>
      </c>
      <c r="AE36" s="260">
        <v>32.382008999999996</v>
      </c>
      <c r="AF36" s="260">
        <v>32.415129999999998</v>
      </c>
      <c r="AG36" s="260">
        <v>32.448098000000002</v>
      </c>
      <c r="AH36" s="260">
        <v>32.480914999999996</v>
      </c>
      <c r="AI36" s="260">
        <v>32.513577999999995</v>
      </c>
      <c r="AJ36" s="260">
        <v>32.54609</v>
      </c>
      <c r="AK36" s="260">
        <v>32.578448999999999</v>
      </c>
      <c r="AL36" s="260">
        <v>32.610655999999999</v>
      </c>
      <c r="AM36" s="260">
        <v>32.642710000000001</v>
      </c>
      <c r="AN36" s="260">
        <v>32.674611999999996</v>
      </c>
      <c r="AO36" s="260">
        <v>32.706361999999999</v>
      </c>
      <c r="AP36" s="260">
        <v>32.737958999999996</v>
      </c>
      <c r="AQ36" s="260">
        <v>32.769404999999999</v>
      </c>
      <c r="AR36" s="260">
        <v>32.800697999999997</v>
      </c>
      <c r="AS36" s="260">
        <v>32.831838999999995</v>
      </c>
      <c r="AT36" s="260">
        <v>32.862828</v>
      </c>
      <c r="AU36" s="260">
        <v>32.893664999999999</v>
      </c>
      <c r="AV36" s="260">
        <v>32.924349999999997</v>
      </c>
      <c r="AW36" s="260">
        <v>32.954882999999995</v>
      </c>
      <c r="AX36" s="260">
        <v>32.985264999999998</v>
      </c>
      <c r="AY36" s="260">
        <v>33.015495000000001</v>
      </c>
      <c r="AZ36" s="260">
        <v>33.045574000000002</v>
      </c>
      <c r="BA36" s="260">
        <v>33.075502</v>
      </c>
      <c r="BB36" s="260">
        <v>33.105277999999998</v>
      </c>
      <c r="BC36" s="260">
        <v>33.134903999999999</v>
      </c>
      <c r="BD36" s="260">
        <v>33.164378999999997</v>
      </c>
      <c r="BE36" s="260">
        <v>33.193702999999999</v>
      </c>
      <c r="BF36" s="260">
        <v>33.222875999999999</v>
      </c>
      <c r="BG36" s="260">
        <v>33.251899999999999</v>
      </c>
      <c r="BH36" s="260">
        <v>33.280772999999996</v>
      </c>
      <c r="BI36" s="260">
        <v>33.309497</v>
      </c>
      <c r="BJ36" s="260">
        <v>33.338070000000002</v>
      </c>
      <c r="BK36" s="260">
        <v>33.366495</v>
      </c>
      <c r="BL36" s="260">
        <v>33.394770000000001</v>
      </c>
      <c r="BM36" s="260">
        <v>33.422896000000001</v>
      </c>
      <c r="BN36" s="260">
        <v>33.450873999999999</v>
      </c>
      <c r="BO36" s="260">
        <v>33.478702999999996</v>
      </c>
      <c r="BP36" s="260">
        <v>33.506383999999997</v>
      </c>
      <c r="BQ36" s="260">
        <v>33.533916999999995</v>
      </c>
      <c r="BR36" s="260">
        <v>33.561301999999998</v>
      </c>
      <c r="BS36" s="260">
        <v>33.588540000000002</v>
      </c>
      <c r="BT36" s="260">
        <v>33.615631</v>
      </c>
      <c r="BU36" s="260">
        <v>33.642575000000001</v>
      </c>
      <c r="BV36" s="260">
        <v>33.669373</v>
      </c>
      <c r="BW36" s="260">
        <v>33.696024000000001</v>
      </c>
      <c r="BX36" s="260">
        <v>33.722529999999999</v>
      </c>
      <c r="BY36" s="260">
        <v>33.748889999999996</v>
      </c>
      <c r="BZ36" s="260">
        <v>33.775104999999996</v>
      </c>
      <c r="CA36" s="260">
        <v>33.801175000000001</v>
      </c>
      <c r="CB36" s="260">
        <v>33.827100999999999</v>
      </c>
      <c r="CC36" s="260">
        <v>33.852882000000001</v>
      </c>
      <c r="CD36" s="260">
        <v>33.878520000000002</v>
      </c>
      <c r="CE36" s="260">
        <v>33.904013999999997</v>
      </c>
      <c r="CF36" s="260">
        <v>33.929364999999997</v>
      </c>
      <c r="CG36" s="260">
        <v>33.954572999999996</v>
      </c>
      <c r="CH36" s="260">
        <v>33.979639999999996</v>
      </c>
    </row>
    <row r="37" spans="1:86" x14ac:dyDescent="0.25">
      <c r="A37" s="170">
        <v>1</v>
      </c>
      <c r="B37" s="170">
        <v>36</v>
      </c>
      <c r="C37" s="259">
        <v>31.309612274169922</v>
      </c>
      <c r="D37" s="259">
        <v>31.368701934814453</v>
      </c>
      <c r="E37" s="259">
        <v>31.4268798828125</v>
      </c>
      <c r="F37" s="259">
        <v>31.484163284301758</v>
      </c>
      <c r="G37" s="259">
        <v>31.540569305419922</v>
      </c>
      <c r="H37" s="259">
        <v>31.596111297607422</v>
      </c>
      <c r="I37" s="260">
        <v>31.235018999999998</v>
      </c>
      <c r="J37" s="260">
        <v>31.272694999999999</v>
      </c>
      <c r="K37" s="260">
        <v>31.310084</v>
      </c>
      <c r="L37" s="260">
        <v>31.347201999999999</v>
      </c>
      <c r="M37" s="260">
        <v>31.384067999999999</v>
      </c>
      <c r="N37" s="260">
        <v>31.420696</v>
      </c>
      <c r="O37" s="260">
        <v>31.457103</v>
      </c>
      <c r="P37" s="260">
        <v>31.493302</v>
      </c>
      <c r="Q37" s="260">
        <v>31.529308</v>
      </c>
      <c r="R37" s="260">
        <v>31.565130999999997</v>
      </c>
      <c r="S37" s="260">
        <v>31.600780999999998</v>
      </c>
      <c r="T37" s="260">
        <v>31.636268999999999</v>
      </c>
      <c r="U37" s="260">
        <v>31.671598999999997</v>
      </c>
      <c r="V37" s="260">
        <v>31.706775999999998</v>
      </c>
      <c r="W37" s="260">
        <v>31.741802</v>
      </c>
      <c r="X37" s="260">
        <v>31.776675999999998</v>
      </c>
      <c r="Y37" s="260">
        <v>31.811397999999997</v>
      </c>
      <c r="Z37" s="260">
        <v>31.845966999999998</v>
      </c>
      <c r="AA37" s="260">
        <v>31.880384999999997</v>
      </c>
      <c r="AB37" s="260">
        <v>31.914649999999998</v>
      </c>
      <c r="AC37" s="260">
        <v>31.948761999999999</v>
      </c>
      <c r="AD37" s="260">
        <v>31.982721999999999</v>
      </c>
      <c r="AE37" s="260">
        <v>32.016528999999998</v>
      </c>
      <c r="AF37" s="260">
        <v>32.050184000000002</v>
      </c>
      <c r="AG37" s="260">
        <v>32.083684999999996</v>
      </c>
      <c r="AH37" s="260">
        <v>32.117033999999997</v>
      </c>
      <c r="AI37" s="260">
        <v>32.150228999999996</v>
      </c>
      <c r="AJ37" s="260">
        <v>32.183271999999995</v>
      </c>
      <c r="AK37" s="260">
        <v>32.216161</v>
      </c>
      <c r="AL37" s="260">
        <v>32.248896999999999</v>
      </c>
      <c r="AM37" s="260">
        <v>32.281480000000002</v>
      </c>
      <c r="AN37" s="260">
        <v>32.31391</v>
      </c>
      <c r="AO37" s="260">
        <v>32.346187</v>
      </c>
      <c r="AP37" s="260">
        <v>32.378309999999999</v>
      </c>
      <c r="AQ37" s="260">
        <v>32.410280999999998</v>
      </c>
      <c r="AR37" s="260">
        <v>32.442098000000001</v>
      </c>
      <c r="AS37" s="260">
        <v>32.473762999999998</v>
      </c>
      <c r="AT37" s="260">
        <v>32.505274</v>
      </c>
      <c r="AU37" s="260">
        <v>32.536633000000002</v>
      </c>
      <c r="AV37" s="260">
        <v>32.567838000000002</v>
      </c>
      <c r="AW37" s="260">
        <v>32.598891000000002</v>
      </c>
      <c r="AX37" s="260">
        <v>32.629790999999997</v>
      </c>
      <c r="AY37" s="260">
        <v>32.660539</v>
      </c>
      <c r="AZ37" s="260">
        <v>32.691133999999998</v>
      </c>
      <c r="BA37" s="260">
        <v>32.721575999999999</v>
      </c>
      <c r="BB37" s="260">
        <v>32.751866999999997</v>
      </c>
      <c r="BC37" s="260">
        <v>32.782004999999998</v>
      </c>
      <c r="BD37" s="260">
        <v>32.811990999999999</v>
      </c>
      <c r="BE37" s="260">
        <v>32.841825</v>
      </c>
      <c r="BF37" s="260">
        <v>32.871507999999999</v>
      </c>
      <c r="BG37" s="260">
        <v>32.901038999999997</v>
      </c>
      <c r="BH37" s="260">
        <v>32.930419000000001</v>
      </c>
      <c r="BI37" s="260">
        <v>32.959648000000001</v>
      </c>
      <c r="BJ37" s="260">
        <v>32.988726</v>
      </c>
      <c r="BK37" s="260">
        <v>33.017652999999996</v>
      </c>
      <c r="BL37" s="260">
        <v>33.046428999999996</v>
      </c>
      <c r="BM37" s="260">
        <v>33.075054999999999</v>
      </c>
      <c r="BN37" s="260">
        <v>33.103530999999997</v>
      </c>
      <c r="BO37" s="260">
        <v>33.131858000000001</v>
      </c>
      <c r="BP37" s="260">
        <v>33.160033999999996</v>
      </c>
      <c r="BQ37" s="260">
        <v>33.188061999999995</v>
      </c>
      <c r="BR37" s="260">
        <v>33.215939999999996</v>
      </c>
      <c r="BS37" s="260">
        <v>33.243668999999997</v>
      </c>
      <c r="BT37" s="260">
        <v>33.271250000000002</v>
      </c>
      <c r="BU37" s="260">
        <v>33.298681999999999</v>
      </c>
      <c r="BV37" s="260">
        <v>33.325966999999999</v>
      </c>
      <c r="BW37" s="260">
        <v>33.353104000000002</v>
      </c>
      <c r="BX37" s="260">
        <v>33.380092999999995</v>
      </c>
      <c r="BY37" s="260">
        <v>33.406936000000002</v>
      </c>
      <c r="BZ37" s="260">
        <v>33.433630999999998</v>
      </c>
      <c r="CA37" s="260">
        <v>33.460180999999999</v>
      </c>
      <c r="CB37" s="260">
        <v>33.486584000000001</v>
      </c>
      <c r="CC37" s="260">
        <v>33.512841000000002</v>
      </c>
      <c r="CD37" s="260">
        <v>33.538952999999999</v>
      </c>
      <c r="CE37" s="260">
        <v>33.564920000000001</v>
      </c>
      <c r="CF37" s="260">
        <v>33.590741999999999</v>
      </c>
      <c r="CG37" s="260">
        <v>33.616419999999998</v>
      </c>
      <c r="CH37" s="260">
        <v>33.641953999999998</v>
      </c>
    </row>
    <row r="38" spans="1:86" x14ac:dyDescent="0.25">
      <c r="A38" s="170">
        <v>1</v>
      </c>
      <c r="B38" s="170">
        <v>37</v>
      </c>
      <c r="C38" s="259">
        <v>30.896562576293945</v>
      </c>
      <c r="D38" s="259">
        <v>30.95695686340332</v>
      </c>
      <c r="E38" s="259">
        <v>31.016424179077148</v>
      </c>
      <c r="F38" s="259">
        <v>31.074985504150391</v>
      </c>
      <c r="G38" s="259">
        <v>31.132650375366211</v>
      </c>
      <c r="H38" s="259">
        <v>31.18943977355957</v>
      </c>
      <c r="I38" s="260">
        <v>30.850023</v>
      </c>
      <c r="J38" s="260">
        <v>30.888241999999998</v>
      </c>
      <c r="K38" s="260">
        <v>30.926172999999999</v>
      </c>
      <c r="L38" s="260">
        <v>30.963833999999999</v>
      </c>
      <c r="M38" s="260">
        <v>31.001241999999998</v>
      </c>
      <c r="N38" s="260">
        <v>31.038412999999998</v>
      </c>
      <c r="O38" s="260">
        <v>31.075363999999997</v>
      </c>
      <c r="P38" s="260">
        <v>31.112109</v>
      </c>
      <c r="Q38" s="260">
        <v>31.14866</v>
      </c>
      <c r="R38" s="260">
        <v>31.185029999999998</v>
      </c>
      <c r="S38" s="260">
        <v>31.221228</v>
      </c>
      <c r="T38" s="260">
        <v>31.257261999999997</v>
      </c>
      <c r="U38" s="260">
        <v>31.293139999999998</v>
      </c>
      <c r="V38" s="260">
        <v>31.328864999999997</v>
      </c>
      <c r="W38" s="260">
        <v>31.364436999999999</v>
      </c>
      <c r="X38" s="260">
        <v>31.399857999999998</v>
      </c>
      <c r="Y38" s="260">
        <v>31.435126</v>
      </c>
      <c r="Z38" s="260">
        <v>31.470241999999999</v>
      </c>
      <c r="AA38" s="260">
        <v>31.505203999999999</v>
      </c>
      <c r="AB38" s="260">
        <v>31.540013999999999</v>
      </c>
      <c r="AC38" s="260">
        <v>31.574670999999999</v>
      </c>
      <c r="AD38" s="260">
        <v>31.609174999999997</v>
      </c>
      <c r="AE38" s="260">
        <v>31.643525999999998</v>
      </c>
      <c r="AF38" s="260">
        <v>31.677723</v>
      </c>
      <c r="AG38" s="260">
        <v>31.711766999999998</v>
      </c>
      <c r="AH38" s="260">
        <v>31.745656999999998</v>
      </c>
      <c r="AI38" s="260">
        <v>31.779392999999999</v>
      </c>
      <c r="AJ38" s="260">
        <v>31.812975999999999</v>
      </c>
      <c r="AK38" s="260">
        <v>31.846404999999997</v>
      </c>
      <c r="AL38" s="260">
        <v>31.879679999999997</v>
      </c>
      <c r="AM38" s="260">
        <v>31.912800999999998</v>
      </c>
      <c r="AN38" s="260">
        <v>31.945767999999997</v>
      </c>
      <c r="AO38" s="260">
        <v>31.978580999999998</v>
      </c>
      <c r="AP38" s="260">
        <v>32.011240000000001</v>
      </c>
      <c r="AQ38" s="260">
        <v>32.043745999999999</v>
      </c>
      <c r="AR38" s="260">
        <v>32.076096999999997</v>
      </c>
      <c r="AS38" s="260">
        <v>32.108294000000001</v>
      </c>
      <c r="AT38" s="260">
        <v>32.140336999999995</v>
      </c>
      <c r="AU38" s="260">
        <v>32.172226999999999</v>
      </c>
      <c r="AV38" s="260">
        <v>32.203961999999997</v>
      </c>
      <c r="AW38" s="260">
        <v>32.235543999999997</v>
      </c>
      <c r="AX38" s="260">
        <v>32.266971999999996</v>
      </c>
      <c r="AY38" s="260">
        <v>32.298245999999999</v>
      </c>
      <c r="AZ38" s="260">
        <v>32.329366</v>
      </c>
      <c r="BA38" s="260">
        <v>32.360334000000002</v>
      </c>
      <c r="BB38" s="260">
        <v>32.391146999999997</v>
      </c>
      <c r="BC38" s="260">
        <v>32.421807999999999</v>
      </c>
      <c r="BD38" s="260">
        <v>32.452314999999999</v>
      </c>
      <c r="BE38" s="260">
        <v>32.482669000000001</v>
      </c>
      <c r="BF38" s="260">
        <v>32.512869999999999</v>
      </c>
      <c r="BG38" s="260">
        <v>32.542918999999998</v>
      </c>
      <c r="BH38" s="260">
        <v>32.572814999999999</v>
      </c>
      <c r="BI38" s="260">
        <v>32.602558000000002</v>
      </c>
      <c r="BJ38" s="260">
        <v>32.632149999999996</v>
      </c>
      <c r="BK38" s="260">
        <v>32.661588999999999</v>
      </c>
      <c r="BL38" s="260">
        <v>32.690875999999996</v>
      </c>
      <c r="BM38" s="260">
        <v>32.720011999999997</v>
      </c>
      <c r="BN38" s="260">
        <v>32.748995999999998</v>
      </c>
      <c r="BO38" s="260">
        <v>32.777828999999997</v>
      </c>
      <c r="BP38" s="260">
        <v>32.806511</v>
      </c>
      <c r="BQ38" s="260">
        <v>32.835042000000001</v>
      </c>
      <c r="BR38" s="260">
        <v>32.863422</v>
      </c>
      <c r="BS38" s="260">
        <v>32.891652000000001</v>
      </c>
      <c r="BT38" s="260">
        <v>32.919733000000001</v>
      </c>
      <c r="BU38" s="260">
        <v>32.947662999999999</v>
      </c>
      <c r="BV38" s="260">
        <v>32.975443999999996</v>
      </c>
      <c r="BW38" s="260">
        <v>33.003076</v>
      </c>
      <c r="BX38" s="260">
        <v>33.030557999999999</v>
      </c>
      <c r="BY38" s="260">
        <v>33.057893</v>
      </c>
      <c r="BZ38" s="260">
        <v>33.085077999999996</v>
      </c>
      <c r="CA38" s="260">
        <v>33.112116</v>
      </c>
      <c r="CB38" s="260">
        <v>33.139006000000002</v>
      </c>
      <c r="CC38" s="260">
        <v>33.165748999999998</v>
      </c>
      <c r="CD38" s="260">
        <v>33.192344999999996</v>
      </c>
      <c r="CE38" s="260">
        <v>33.218793999999995</v>
      </c>
      <c r="CF38" s="260">
        <v>33.245097000000001</v>
      </c>
      <c r="CG38" s="260">
        <v>33.271253000000002</v>
      </c>
      <c r="CH38" s="260">
        <v>33.297263999999998</v>
      </c>
    </row>
    <row r="39" spans="1:86" x14ac:dyDescent="0.25">
      <c r="A39" s="170">
        <v>1</v>
      </c>
      <c r="B39" s="170">
        <v>38</v>
      </c>
      <c r="C39" s="259">
        <v>30.475297927856445</v>
      </c>
      <c r="D39" s="259">
        <v>30.537006378173828</v>
      </c>
      <c r="E39" s="259">
        <v>30.597774505615234</v>
      </c>
      <c r="F39" s="259">
        <v>30.657619476318359</v>
      </c>
      <c r="G39" s="259">
        <v>30.716554641723633</v>
      </c>
      <c r="H39" s="259">
        <v>30.774599075317383</v>
      </c>
      <c r="I39" s="260">
        <v>30.457411999999998</v>
      </c>
      <c r="J39" s="260">
        <v>30.496191</v>
      </c>
      <c r="K39" s="260">
        <v>30.534678</v>
      </c>
      <c r="L39" s="260">
        <v>30.572892999999997</v>
      </c>
      <c r="M39" s="260">
        <v>30.610854</v>
      </c>
      <c r="N39" s="260">
        <v>30.648578999999998</v>
      </c>
      <c r="O39" s="260">
        <v>30.686083</v>
      </c>
      <c r="P39" s="260">
        <v>30.723379999999999</v>
      </c>
      <c r="Q39" s="260">
        <v>30.760484999999999</v>
      </c>
      <c r="R39" s="260">
        <v>30.797407999999997</v>
      </c>
      <c r="S39" s="260">
        <v>30.834159999999997</v>
      </c>
      <c r="T39" s="260">
        <v>30.870749999999997</v>
      </c>
      <c r="U39" s="260">
        <v>30.907180999999998</v>
      </c>
      <c r="V39" s="260">
        <v>30.943459999999998</v>
      </c>
      <c r="W39" s="260">
        <v>30.979585999999998</v>
      </c>
      <c r="X39" s="260">
        <v>31.015559999999997</v>
      </c>
      <c r="Y39" s="260">
        <v>31.051382</v>
      </c>
      <c r="Z39" s="260">
        <v>31.087049999999998</v>
      </c>
      <c r="AA39" s="260">
        <v>31.122564999999998</v>
      </c>
      <c r="AB39" s="260">
        <v>31.157926999999997</v>
      </c>
      <c r="AC39" s="260">
        <v>31.193135999999999</v>
      </c>
      <c r="AD39" s="260">
        <v>31.228190999999999</v>
      </c>
      <c r="AE39" s="260">
        <v>31.263092</v>
      </c>
      <c r="AF39" s="260">
        <v>31.297839</v>
      </c>
      <c r="AG39" s="260">
        <v>31.332431999999997</v>
      </c>
      <c r="AH39" s="260">
        <v>31.366871</v>
      </c>
      <c r="AI39" s="260">
        <v>31.401156</v>
      </c>
      <c r="AJ39" s="260">
        <v>31.435285999999998</v>
      </c>
      <c r="AK39" s="260">
        <v>31.469261999999997</v>
      </c>
      <c r="AL39" s="260">
        <v>31.503083</v>
      </c>
      <c r="AM39" s="260">
        <v>31.536749999999998</v>
      </c>
      <c r="AN39" s="260">
        <v>31.570262</v>
      </c>
      <c r="AO39" s="260">
        <v>31.603618999999998</v>
      </c>
      <c r="AP39" s="260">
        <v>31.636820999999998</v>
      </c>
      <c r="AQ39" s="260">
        <v>31.669867999999997</v>
      </c>
      <c r="AR39" s="260">
        <v>31.702760999999999</v>
      </c>
      <c r="AS39" s="260">
        <v>31.735498999999997</v>
      </c>
      <c r="AT39" s="260">
        <v>31.768080999999999</v>
      </c>
      <c r="AU39" s="260">
        <v>31.800508999999998</v>
      </c>
      <c r="AV39" s="260">
        <v>31.832781999999998</v>
      </c>
      <c r="AW39" s="260">
        <v>31.864901</v>
      </c>
      <c r="AX39" s="260">
        <v>31.896863999999997</v>
      </c>
      <c r="AY39" s="260">
        <v>31.928673</v>
      </c>
      <c r="AZ39" s="260">
        <v>31.960326999999999</v>
      </c>
      <c r="BA39" s="260">
        <v>31.991826</v>
      </c>
      <c r="BB39" s="260">
        <v>32.023170999999998</v>
      </c>
      <c r="BC39" s="260">
        <v>32.054361999999998</v>
      </c>
      <c r="BD39" s="260">
        <v>32.085397999999998</v>
      </c>
      <c r="BE39" s="260">
        <v>32.116279999999996</v>
      </c>
      <c r="BF39" s="260">
        <v>32.147008</v>
      </c>
      <c r="BG39" s="260">
        <v>32.177582000000001</v>
      </c>
      <c r="BH39" s="260">
        <v>32.208002</v>
      </c>
      <c r="BI39" s="260">
        <v>32.238267999999998</v>
      </c>
      <c r="BJ39" s="260">
        <v>32.268380999999998</v>
      </c>
      <c r="BK39" s="260">
        <v>32.298339999999996</v>
      </c>
      <c r="BL39" s="260">
        <v>32.328145999999997</v>
      </c>
      <c r="BM39" s="260">
        <v>32.357799</v>
      </c>
      <c r="BN39" s="260">
        <v>32.387298999999999</v>
      </c>
      <c r="BO39" s="260">
        <v>32.416646999999998</v>
      </c>
      <c r="BP39" s="260">
        <v>32.445841999999999</v>
      </c>
      <c r="BQ39" s="260">
        <v>32.474885</v>
      </c>
      <c r="BR39" s="260">
        <v>32.503776000000002</v>
      </c>
      <c r="BS39" s="260">
        <v>32.532514999999997</v>
      </c>
      <c r="BT39" s="260">
        <v>32.561102999999996</v>
      </c>
      <c r="BU39" s="260">
        <v>32.589539000000002</v>
      </c>
      <c r="BV39" s="260">
        <v>32.617824999999996</v>
      </c>
      <c r="BW39" s="260">
        <v>32.645958999999998</v>
      </c>
      <c r="BX39" s="260">
        <v>32.673943999999999</v>
      </c>
      <c r="BY39" s="260">
        <v>32.701777999999997</v>
      </c>
      <c r="BZ39" s="260">
        <v>32.729461999999998</v>
      </c>
      <c r="CA39" s="260">
        <v>32.756996000000001</v>
      </c>
      <c r="CB39" s="260">
        <v>32.784382000000001</v>
      </c>
      <c r="CC39" s="260">
        <v>32.811617999999996</v>
      </c>
      <c r="CD39" s="260">
        <v>32.838704999999997</v>
      </c>
      <c r="CE39" s="260">
        <v>32.865645000000001</v>
      </c>
      <c r="CF39" s="260">
        <v>32.892435999999996</v>
      </c>
      <c r="CG39" s="260">
        <v>32.919080000000001</v>
      </c>
      <c r="CH39" s="260">
        <v>32.945575999999996</v>
      </c>
    </row>
    <row r="40" spans="1:86" x14ac:dyDescent="0.25">
      <c r="A40" s="170">
        <v>1</v>
      </c>
      <c r="B40" s="170">
        <v>39</v>
      </c>
      <c r="C40" s="259">
        <v>30.045524597167969</v>
      </c>
      <c r="D40" s="259">
        <v>30.108560562133789</v>
      </c>
      <c r="E40" s="259">
        <v>30.170642852783203</v>
      </c>
      <c r="F40" s="259">
        <v>30.231784820556641</v>
      </c>
      <c r="G40" s="259">
        <v>30.292003631591797</v>
      </c>
      <c r="H40" s="259">
        <v>30.351316452026367</v>
      </c>
      <c r="I40" s="260">
        <v>30.057373999999999</v>
      </c>
      <c r="J40" s="260">
        <v>30.096726</v>
      </c>
      <c r="K40" s="260">
        <v>30.135780999999998</v>
      </c>
      <c r="L40" s="260">
        <v>30.17456</v>
      </c>
      <c r="M40" s="260">
        <v>30.213082</v>
      </c>
      <c r="N40" s="260">
        <v>30.251365999999997</v>
      </c>
      <c r="O40" s="260">
        <v>30.289428999999998</v>
      </c>
      <c r="P40" s="260">
        <v>30.327285</v>
      </c>
      <c r="Q40" s="260">
        <v>30.364947999999998</v>
      </c>
      <c r="R40" s="260">
        <v>30.402428999999998</v>
      </c>
      <c r="S40" s="260">
        <v>30.439739999999997</v>
      </c>
      <c r="T40" s="260">
        <v>30.476886999999998</v>
      </c>
      <c r="U40" s="260">
        <v>30.513877999999998</v>
      </c>
      <c r="V40" s="260">
        <v>30.550713999999999</v>
      </c>
      <c r="W40" s="260">
        <v>30.587398999999998</v>
      </c>
      <c r="X40" s="260">
        <v>30.623929999999998</v>
      </c>
      <c r="Y40" s="260">
        <v>30.660308999999998</v>
      </c>
      <c r="Z40" s="260">
        <v>30.696534999999997</v>
      </c>
      <c r="AA40" s="260">
        <v>30.732606999999998</v>
      </c>
      <c r="AB40" s="260">
        <v>30.768525</v>
      </c>
      <c r="AC40" s="260">
        <v>30.804289999999998</v>
      </c>
      <c r="AD40" s="260">
        <v>30.839900999999998</v>
      </c>
      <c r="AE40" s="260">
        <v>30.875356999999997</v>
      </c>
      <c r="AF40" s="260">
        <v>30.91066</v>
      </c>
      <c r="AG40" s="260">
        <v>30.945806999999999</v>
      </c>
      <c r="AH40" s="260">
        <v>30.980799999999999</v>
      </c>
      <c r="AI40" s="260">
        <v>31.015637999999999</v>
      </c>
      <c r="AJ40" s="260">
        <v>31.050321</v>
      </c>
      <c r="AK40" s="260">
        <v>31.084848999999998</v>
      </c>
      <c r="AL40" s="260">
        <v>31.119221</v>
      </c>
      <c r="AM40" s="260">
        <v>31.153438999999999</v>
      </c>
      <c r="AN40" s="260">
        <v>31.1875</v>
      </c>
      <c r="AO40" s="260">
        <v>31.221406999999999</v>
      </c>
      <c r="AP40" s="260">
        <v>31.255156999999997</v>
      </c>
      <c r="AQ40" s="260">
        <v>31.288753</v>
      </c>
      <c r="AR40" s="260">
        <v>31.322191999999998</v>
      </c>
      <c r="AS40" s="260">
        <v>31.355475999999999</v>
      </c>
      <c r="AT40" s="260">
        <v>31.388603999999997</v>
      </c>
      <c r="AU40" s="260">
        <v>31.421575999999998</v>
      </c>
      <c r="AV40" s="260">
        <v>31.454391999999999</v>
      </c>
      <c r="AW40" s="260">
        <v>31.487053</v>
      </c>
      <c r="AX40" s="260">
        <v>31.519556999999999</v>
      </c>
      <c r="AY40" s="260">
        <v>31.551905999999999</v>
      </c>
      <c r="AZ40" s="260">
        <v>31.584099999999999</v>
      </c>
      <c r="BA40" s="260">
        <v>31.616136999999998</v>
      </c>
      <c r="BB40" s="260">
        <v>31.648019999999999</v>
      </c>
      <c r="BC40" s="260">
        <v>31.679745999999998</v>
      </c>
      <c r="BD40" s="260">
        <v>31.711316999999998</v>
      </c>
      <c r="BE40" s="260">
        <v>31.742732999999998</v>
      </c>
      <c r="BF40" s="260">
        <v>31.773992999999997</v>
      </c>
      <c r="BG40" s="260">
        <v>31.805097999999997</v>
      </c>
      <c r="BH40" s="260">
        <v>31.836048999999999</v>
      </c>
      <c r="BI40" s="260">
        <v>31.866843999999997</v>
      </c>
      <c r="BJ40" s="260">
        <v>31.897483999999999</v>
      </c>
      <c r="BK40" s="260">
        <v>31.927969999999998</v>
      </c>
      <c r="BL40" s="260">
        <v>31.958300999999999</v>
      </c>
      <c r="BM40" s="260">
        <v>31.988477999999997</v>
      </c>
      <c r="BN40" s="260">
        <v>32.018501000000001</v>
      </c>
      <c r="BO40" s="260">
        <v>32.048369000000001</v>
      </c>
      <c r="BP40" s="260">
        <v>32.078083999999997</v>
      </c>
      <c r="BQ40" s="260">
        <v>32.107644999999998</v>
      </c>
      <c r="BR40" s="260">
        <v>32.137053000000002</v>
      </c>
      <c r="BS40" s="260">
        <v>32.166308000000001</v>
      </c>
      <c r="BT40" s="260">
        <v>32.195408999999998</v>
      </c>
      <c r="BU40" s="260">
        <v>32.224357999999995</v>
      </c>
      <c r="BV40" s="260">
        <v>32.253155</v>
      </c>
      <c r="BW40" s="260">
        <v>32.281798999999999</v>
      </c>
      <c r="BX40" s="260">
        <v>32.310290999999999</v>
      </c>
      <c r="BY40" s="260">
        <v>32.338631999999997</v>
      </c>
      <c r="BZ40" s="260">
        <v>32.366821000000002</v>
      </c>
      <c r="CA40" s="260">
        <v>32.394858999999997</v>
      </c>
      <c r="CB40" s="260">
        <v>32.422745999999997</v>
      </c>
      <c r="CC40" s="260">
        <v>32.450482000000001</v>
      </c>
      <c r="CD40" s="260">
        <v>32.478068</v>
      </c>
      <c r="CE40" s="260">
        <v>32.505504000000002</v>
      </c>
      <c r="CF40" s="260">
        <v>32.532790999999996</v>
      </c>
      <c r="CG40" s="260">
        <v>32.559927999999999</v>
      </c>
      <c r="CH40" s="260">
        <v>32.586917</v>
      </c>
    </row>
    <row r="41" spans="1:86" x14ac:dyDescent="0.25">
      <c r="A41" s="170">
        <v>1</v>
      </c>
      <c r="B41" s="170">
        <v>40</v>
      </c>
      <c r="C41" s="259">
        <v>29.607051849365234</v>
      </c>
      <c r="D41" s="259">
        <v>29.671428680419922</v>
      </c>
      <c r="E41" s="259">
        <v>29.734834671020508</v>
      </c>
      <c r="F41" s="259">
        <v>29.797286987304688</v>
      </c>
      <c r="G41" s="259">
        <v>29.858802795410156</v>
      </c>
      <c r="H41" s="259">
        <v>29.919397354125977</v>
      </c>
      <c r="I41" s="260">
        <v>29.650036999999998</v>
      </c>
      <c r="J41" s="260">
        <v>29.689973999999999</v>
      </c>
      <c r="K41" s="260">
        <v>29.729606</v>
      </c>
      <c r="L41" s="260">
        <v>29.768955999999999</v>
      </c>
      <c r="M41" s="260">
        <v>29.808045999999997</v>
      </c>
      <c r="N41" s="260">
        <v>29.846895</v>
      </c>
      <c r="O41" s="260">
        <v>29.88552</v>
      </c>
      <c r="P41" s="260">
        <v>29.923936999999999</v>
      </c>
      <c r="Q41" s="260">
        <v>29.962160999999998</v>
      </c>
      <c r="R41" s="260">
        <v>30.000202999999999</v>
      </c>
      <c r="S41" s="260">
        <v>30.038073999999998</v>
      </c>
      <c r="T41" s="260">
        <v>30.075782</v>
      </c>
      <c r="U41" s="260">
        <v>30.113332</v>
      </c>
      <c r="V41" s="260">
        <v>30.150728999999998</v>
      </c>
      <c r="W41" s="260">
        <v>30.187973</v>
      </c>
      <c r="X41" s="260">
        <v>30.225064999999997</v>
      </c>
      <c r="Y41" s="260">
        <v>30.262003999999997</v>
      </c>
      <c r="Z41" s="260">
        <v>30.298788999999999</v>
      </c>
      <c r="AA41" s="260">
        <v>30.335421</v>
      </c>
      <c r="AB41" s="260">
        <v>30.371897999999998</v>
      </c>
      <c r="AC41" s="260">
        <v>30.408221999999999</v>
      </c>
      <c r="AD41" s="260">
        <v>30.444391</v>
      </c>
      <c r="AE41" s="260">
        <v>30.480405999999999</v>
      </c>
      <c r="AF41" s="260">
        <v>30.516265999999998</v>
      </c>
      <c r="AG41" s="260">
        <v>30.551970999999998</v>
      </c>
      <c r="AH41" s="260">
        <v>30.587519999999998</v>
      </c>
      <c r="AI41" s="260">
        <v>30.622914999999999</v>
      </c>
      <c r="AJ41" s="260">
        <v>30.658152999999999</v>
      </c>
      <c r="AK41" s="260">
        <v>30.693237</v>
      </c>
      <c r="AL41" s="260">
        <v>30.728164</v>
      </c>
      <c r="AM41" s="260">
        <v>30.762934999999999</v>
      </c>
      <c r="AN41" s="260">
        <v>30.797550999999999</v>
      </c>
      <c r="AO41" s="260">
        <v>30.83201</v>
      </c>
      <c r="AP41" s="260">
        <v>30.866311999999997</v>
      </c>
      <c r="AQ41" s="260">
        <v>30.900458999999998</v>
      </c>
      <c r="AR41" s="260">
        <v>30.934448999999997</v>
      </c>
      <c r="AS41" s="260">
        <v>30.968281999999999</v>
      </c>
      <c r="AT41" s="260">
        <v>31.001958999999999</v>
      </c>
      <c r="AU41" s="260">
        <v>31.035478999999999</v>
      </c>
      <c r="AV41" s="260">
        <v>31.068842999999998</v>
      </c>
      <c r="AW41" s="260">
        <v>31.102049999999998</v>
      </c>
      <c r="AX41" s="260">
        <v>31.135099999999998</v>
      </c>
      <c r="AY41" s="260">
        <v>31.167994</v>
      </c>
      <c r="AZ41" s="260">
        <v>31.200730999999998</v>
      </c>
      <c r="BA41" s="260">
        <v>31.233310999999997</v>
      </c>
      <c r="BB41" s="260">
        <v>31.265733999999998</v>
      </c>
      <c r="BC41" s="260">
        <v>31.298000999999999</v>
      </c>
      <c r="BD41" s="260">
        <v>31.330112</v>
      </c>
      <c r="BE41" s="260">
        <v>31.362065999999999</v>
      </c>
      <c r="BF41" s="260">
        <v>31.393863</v>
      </c>
      <c r="BG41" s="260">
        <v>31.425504</v>
      </c>
      <c r="BH41" s="260">
        <v>31.456989</v>
      </c>
      <c r="BI41" s="260">
        <v>31.488318</v>
      </c>
      <c r="BJ41" s="260">
        <v>31.519490999999999</v>
      </c>
      <c r="BK41" s="260">
        <v>31.550507999999997</v>
      </c>
      <c r="BL41" s="260">
        <v>31.581368999999999</v>
      </c>
      <c r="BM41" s="260">
        <v>31.612074</v>
      </c>
      <c r="BN41" s="260">
        <v>31.642623999999998</v>
      </c>
      <c r="BO41" s="260">
        <v>31.673019</v>
      </c>
      <c r="BP41" s="260">
        <v>31.703257999999998</v>
      </c>
      <c r="BQ41" s="260">
        <v>31.733342999999998</v>
      </c>
      <c r="BR41" s="260">
        <v>31.763271999999997</v>
      </c>
      <c r="BS41" s="260">
        <v>31.793047999999999</v>
      </c>
      <c r="BT41" s="260">
        <v>31.822668</v>
      </c>
      <c r="BU41" s="260">
        <v>31.852134999999997</v>
      </c>
      <c r="BV41" s="260">
        <v>31.881447999999999</v>
      </c>
      <c r="BW41" s="260">
        <v>31.910605999999998</v>
      </c>
      <c r="BX41" s="260">
        <v>31.939611999999997</v>
      </c>
      <c r="BY41" s="260">
        <v>31.968463999999997</v>
      </c>
      <c r="BZ41" s="260">
        <v>31.997162999999997</v>
      </c>
      <c r="CA41" s="260">
        <v>32.025709999999997</v>
      </c>
      <c r="CB41" s="260">
        <v>32.054103999999995</v>
      </c>
      <c r="CC41" s="260">
        <v>32.082346000000001</v>
      </c>
      <c r="CD41" s="260">
        <v>32.110436</v>
      </c>
      <c r="CE41" s="260">
        <v>32.138374999999996</v>
      </c>
      <c r="CF41" s="260">
        <v>32.166162</v>
      </c>
      <c r="CG41" s="260">
        <v>32.193798999999999</v>
      </c>
      <c r="CH41" s="260">
        <v>32.221285000000002</v>
      </c>
    </row>
    <row r="42" spans="1:86" x14ac:dyDescent="0.25">
      <c r="A42" s="170">
        <v>1</v>
      </c>
      <c r="B42" s="170">
        <v>41</v>
      </c>
      <c r="C42" s="259">
        <v>29.159137725830078</v>
      </c>
      <c r="D42" s="259">
        <v>29.224777221679688</v>
      </c>
      <c r="E42" s="259">
        <v>29.289436340332031</v>
      </c>
      <c r="F42" s="259">
        <v>29.353132247924805</v>
      </c>
      <c r="G42" s="259">
        <v>29.415882110595703</v>
      </c>
      <c r="H42" s="259">
        <v>29.477701187133789</v>
      </c>
      <c r="I42" s="260">
        <v>29.235251999999999</v>
      </c>
      <c r="J42" s="260">
        <v>29.275786999999998</v>
      </c>
      <c r="K42" s="260">
        <v>29.316006999999999</v>
      </c>
      <c r="L42" s="260">
        <v>29.355937999999998</v>
      </c>
      <c r="M42" s="260">
        <v>29.395602</v>
      </c>
      <c r="N42" s="260">
        <v>29.435019999999998</v>
      </c>
      <c r="O42" s="260">
        <v>29.474211999999998</v>
      </c>
      <c r="P42" s="260">
        <v>29.513193999999999</v>
      </c>
      <c r="Q42" s="260">
        <v>29.551980999999998</v>
      </c>
      <c r="R42" s="260">
        <v>29.590585999999998</v>
      </c>
      <c r="S42" s="260">
        <v>29.629019</v>
      </c>
      <c r="T42" s="260">
        <v>29.667289</v>
      </c>
      <c r="U42" s="260">
        <v>29.705401999999999</v>
      </c>
      <c r="V42" s="260">
        <v>29.743361</v>
      </c>
      <c r="W42" s="260">
        <v>29.781167999999997</v>
      </c>
      <c r="X42" s="260">
        <v>29.818821999999997</v>
      </c>
      <c r="Y42" s="260">
        <v>29.856323</v>
      </c>
      <c r="Z42" s="260">
        <v>29.89367</v>
      </c>
      <c r="AA42" s="260">
        <v>29.930862999999999</v>
      </c>
      <c r="AB42" s="260">
        <v>29.967903</v>
      </c>
      <c r="AC42" s="260">
        <v>30.004787999999998</v>
      </c>
      <c r="AD42" s="260">
        <v>30.041518999999997</v>
      </c>
      <c r="AE42" s="260">
        <v>30.078094</v>
      </c>
      <c r="AF42" s="260">
        <v>30.114514999999997</v>
      </c>
      <c r="AG42" s="260">
        <v>30.150779999999997</v>
      </c>
      <c r="AH42" s="260">
        <v>30.186889999999998</v>
      </c>
      <c r="AI42" s="260">
        <v>30.222843999999998</v>
      </c>
      <c r="AJ42" s="260">
        <v>30.258641999999998</v>
      </c>
      <c r="AK42" s="260">
        <v>30.294283</v>
      </c>
      <c r="AL42" s="260">
        <v>30.329768999999999</v>
      </c>
      <c r="AM42" s="260">
        <v>30.365098</v>
      </c>
      <c r="AN42" s="260">
        <v>30.400269999999999</v>
      </c>
      <c r="AO42" s="260">
        <v>30.435285</v>
      </c>
      <c r="AP42" s="260">
        <v>30.470143999999998</v>
      </c>
      <c r="AQ42" s="260">
        <v>30.504845</v>
      </c>
      <c r="AR42" s="260">
        <v>30.539389999999997</v>
      </c>
      <c r="AS42" s="260">
        <v>30.573777</v>
      </c>
      <c r="AT42" s="260">
        <v>30.608006999999997</v>
      </c>
      <c r="AU42" s="260">
        <v>30.642078999999999</v>
      </c>
      <c r="AV42" s="260">
        <v>30.675993999999999</v>
      </c>
      <c r="AW42" s="260">
        <v>30.709750999999997</v>
      </c>
      <c r="AX42" s="260">
        <v>30.743350999999997</v>
      </c>
      <c r="AY42" s="260">
        <v>30.776792999999998</v>
      </c>
      <c r="AZ42" s="260">
        <v>30.810077999999997</v>
      </c>
      <c r="BA42" s="260">
        <v>30.843204999999998</v>
      </c>
      <c r="BB42" s="260">
        <v>30.876173999999999</v>
      </c>
      <c r="BC42" s="260">
        <v>30.908985999999999</v>
      </c>
      <c r="BD42" s="260">
        <v>30.94164</v>
      </c>
      <c r="BE42" s="260">
        <v>30.974136999999999</v>
      </c>
      <c r="BF42" s="260">
        <v>31.006475999999999</v>
      </c>
      <c r="BG42" s="260">
        <v>31.038657999999998</v>
      </c>
      <c r="BH42" s="260">
        <v>31.070681999999998</v>
      </c>
      <c r="BI42" s="260">
        <v>31.102549999999997</v>
      </c>
      <c r="BJ42" s="260">
        <v>31.134259999999998</v>
      </c>
      <c r="BK42" s="260">
        <v>31.165811999999999</v>
      </c>
      <c r="BL42" s="260">
        <v>31.197208</v>
      </c>
      <c r="BM42" s="260">
        <v>31.228446999999999</v>
      </c>
      <c r="BN42" s="260">
        <v>31.259528999999997</v>
      </c>
      <c r="BO42" s="260">
        <v>31.290454999999998</v>
      </c>
      <c r="BP42" s="260">
        <v>31.321223999999997</v>
      </c>
      <c r="BQ42" s="260">
        <v>31.351837</v>
      </c>
      <c r="BR42" s="260">
        <v>31.382293999999998</v>
      </c>
      <c r="BS42" s="260">
        <v>31.412595</v>
      </c>
      <c r="BT42" s="260">
        <v>31.442739999999997</v>
      </c>
      <c r="BU42" s="260">
        <v>31.472728999999998</v>
      </c>
      <c r="BV42" s="260">
        <v>31.502562999999999</v>
      </c>
      <c r="BW42" s="260">
        <v>31.532242</v>
      </c>
      <c r="BX42" s="260">
        <v>31.561765999999999</v>
      </c>
      <c r="BY42" s="260">
        <v>31.591135999999999</v>
      </c>
      <c r="BZ42" s="260">
        <v>31.620350999999999</v>
      </c>
      <c r="CA42" s="260">
        <v>31.649410999999997</v>
      </c>
      <c r="CB42" s="260">
        <v>31.678317999999997</v>
      </c>
      <c r="CC42" s="260">
        <v>31.707070999999999</v>
      </c>
      <c r="CD42" s="260">
        <v>31.735671</v>
      </c>
      <c r="CE42" s="260">
        <v>31.764116999999999</v>
      </c>
      <c r="CF42" s="260">
        <v>31.792410999999998</v>
      </c>
      <c r="CG42" s="260">
        <v>31.820551999999999</v>
      </c>
      <c r="CH42" s="260">
        <v>31.848540999999997</v>
      </c>
    </row>
    <row r="43" spans="1:86" x14ac:dyDescent="0.25">
      <c r="A43" s="170">
        <v>1</v>
      </c>
      <c r="B43" s="170">
        <v>42</v>
      </c>
      <c r="C43" s="259">
        <v>28.702585220336914</v>
      </c>
      <c r="D43" s="259">
        <v>28.769479751586914</v>
      </c>
      <c r="E43" s="259">
        <v>28.835386276245117</v>
      </c>
      <c r="F43" s="259">
        <v>28.900320053100586</v>
      </c>
      <c r="G43" s="259">
        <v>28.964298248291016</v>
      </c>
      <c r="H43" s="259">
        <v>29.027339935302734</v>
      </c>
      <c r="I43" s="260">
        <v>28.812936999999998</v>
      </c>
      <c r="J43" s="260">
        <v>28.854084</v>
      </c>
      <c r="K43" s="260">
        <v>28.894902999999999</v>
      </c>
      <c r="L43" s="260">
        <v>28.935421999999999</v>
      </c>
      <c r="M43" s="260">
        <v>28.975666999999998</v>
      </c>
      <c r="N43" s="260">
        <v>29.01566</v>
      </c>
      <c r="O43" s="260">
        <v>29.055422</v>
      </c>
      <c r="P43" s="260">
        <v>29.094971999999999</v>
      </c>
      <c r="Q43" s="260">
        <v>29.134324999999997</v>
      </c>
      <c r="R43" s="260">
        <v>29.173493999999998</v>
      </c>
      <c r="S43" s="260">
        <v>29.212491</v>
      </c>
      <c r="T43" s="260">
        <v>29.251324999999998</v>
      </c>
      <c r="U43" s="260">
        <v>29.290001999999998</v>
      </c>
      <c r="V43" s="260">
        <v>29.328524999999999</v>
      </c>
      <c r="W43" s="260">
        <v>29.366895999999997</v>
      </c>
      <c r="X43" s="260">
        <v>29.405113999999998</v>
      </c>
      <c r="Y43" s="260">
        <v>29.443178999999997</v>
      </c>
      <c r="Z43" s="260">
        <v>29.481089999999998</v>
      </c>
      <c r="AA43" s="260">
        <v>29.518847999999998</v>
      </c>
      <c r="AB43" s="260">
        <v>29.556450999999999</v>
      </c>
      <c r="AC43" s="260">
        <v>29.593899999999998</v>
      </c>
      <c r="AD43" s="260">
        <v>29.631193999999997</v>
      </c>
      <c r="AE43" s="260">
        <v>29.668332999999997</v>
      </c>
      <c r="AF43" s="260">
        <v>29.705316999999997</v>
      </c>
      <c r="AG43" s="260">
        <v>29.742144999999997</v>
      </c>
      <c r="AH43" s="260">
        <v>29.778817</v>
      </c>
      <c r="AI43" s="260">
        <v>29.815334</v>
      </c>
      <c r="AJ43" s="260">
        <v>29.851692999999997</v>
      </c>
      <c r="AK43" s="260">
        <v>29.887896999999999</v>
      </c>
      <c r="AL43" s="260">
        <v>29.923942999999998</v>
      </c>
      <c r="AM43" s="260">
        <v>29.959833</v>
      </c>
      <c r="AN43" s="260">
        <v>29.995564999999999</v>
      </c>
      <c r="AO43" s="260">
        <v>30.031139999999997</v>
      </c>
      <c r="AP43" s="260">
        <v>30.066557999999997</v>
      </c>
      <c r="AQ43" s="260">
        <v>30.101817999999998</v>
      </c>
      <c r="AR43" s="260">
        <v>30.13692</v>
      </c>
      <c r="AS43" s="260">
        <v>30.171863999999999</v>
      </c>
      <c r="AT43" s="260">
        <v>30.20665</v>
      </c>
      <c r="AU43" s="260">
        <v>30.241277999999998</v>
      </c>
      <c r="AV43" s="260">
        <v>30.275748</v>
      </c>
      <c r="AW43" s="260">
        <v>30.31006</v>
      </c>
      <c r="AX43" s="260">
        <v>30.344213</v>
      </c>
      <c r="AY43" s="260">
        <v>30.378207999999997</v>
      </c>
      <c r="AZ43" s="260">
        <v>30.412043999999998</v>
      </c>
      <c r="BA43" s="260">
        <v>30.445722</v>
      </c>
      <c r="BB43" s="260">
        <v>30.479240999999998</v>
      </c>
      <c r="BC43" s="260">
        <v>30.512601999999998</v>
      </c>
      <c r="BD43" s="260">
        <v>30.545803999999997</v>
      </c>
      <c r="BE43" s="260">
        <v>30.578847999999997</v>
      </c>
      <c r="BF43" s="260">
        <v>30.611732999999997</v>
      </c>
      <c r="BG43" s="260">
        <v>30.644459999999999</v>
      </c>
      <c r="BH43" s="260">
        <v>30.677028</v>
      </c>
      <c r="BI43" s="260">
        <v>30.709437999999999</v>
      </c>
      <c r="BJ43" s="260">
        <v>30.741689999999998</v>
      </c>
      <c r="BK43" s="260">
        <v>30.773782999999998</v>
      </c>
      <c r="BL43" s="260">
        <v>30.805717999999999</v>
      </c>
      <c r="BM43" s="260">
        <v>30.837494999999997</v>
      </c>
      <c r="BN43" s="260">
        <v>30.869114</v>
      </c>
      <c r="BO43" s="260">
        <v>30.900575999999997</v>
      </c>
      <c r="BP43" s="260">
        <v>30.931878999999999</v>
      </c>
      <c r="BQ43" s="260">
        <v>30.963024999999998</v>
      </c>
      <c r="BR43" s="260">
        <v>30.994014</v>
      </c>
      <c r="BS43" s="260">
        <v>31.024844999999999</v>
      </c>
      <c r="BT43" s="260">
        <v>31.055519999999998</v>
      </c>
      <c r="BU43" s="260">
        <v>31.086036999999997</v>
      </c>
      <c r="BV43" s="260">
        <v>31.116398</v>
      </c>
      <c r="BW43" s="260">
        <v>31.146601999999998</v>
      </c>
      <c r="BX43" s="260">
        <v>31.176648999999998</v>
      </c>
      <c r="BY43" s="260">
        <v>31.206540999999998</v>
      </c>
      <c r="BZ43" s="260">
        <v>31.236276999999998</v>
      </c>
      <c r="CA43" s="260">
        <v>31.265856999999997</v>
      </c>
      <c r="CB43" s="260">
        <v>31.295280999999999</v>
      </c>
      <c r="CC43" s="260">
        <v>31.324551</v>
      </c>
      <c r="CD43" s="260">
        <v>31.353664999999999</v>
      </c>
      <c r="CE43" s="260">
        <v>31.382624999999997</v>
      </c>
      <c r="CF43" s="260">
        <v>31.411429999999999</v>
      </c>
      <c r="CG43" s="260">
        <v>31.440080999999999</v>
      </c>
      <c r="CH43" s="260">
        <v>31.468578999999998</v>
      </c>
    </row>
    <row r="44" spans="1:86" x14ac:dyDescent="0.25">
      <c r="A44" s="170">
        <v>1</v>
      </c>
      <c r="B44" s="170">
        <v>43</v>
      </c>
      <c r="C44" s="259">
        <v>28.237598419189453</v>
      </c>
      <c r="D44" s="259">
        <v>28.305730819702148</v>
      </c>
      <c r="E44" s="259">
        <v>28.372867584228516</v>
      </c>
      <c r="F44" s="259">
        <v>28.439023971557617</v>
      </c>
      <c r="G44" s="259">
        <v>28.504219055175781</v>
      </c>
      <c r="H44" s="259">
        <v>28.568466186523438</v>
      </c>
      <c r="I44" s="260">
        <v>28.382885999999999</v>
      </c>
      <c r="J44" s="260">
        <v>28.424661</v>
      </c>
      <c r="K44" s="260">
        <v>28.466090999999999</v>
      </c>
      <c r="L44" s="260">
        <v>28.507207999999999</v>
      </c>
      <c r="M44" s="260">
        <v>28.548040999999998</v>
      </c>
      <c r="N44" s="260">
        <v>28.588614999999997</v>
      </c>
      <c r="O44" s="260">
        <v>28.628951999999998</v>
      </c>
      <c r="P44" s="260">
        <v>28.669072999999997</v>
      </c>
      <c r="Q44" s="260">
        <v>28.708993999999997</v>
      </c>
      <c r="R44" s="260">
        <v>28.748730999999999</v>
      </c>
      <c r="S44" s="260">
        <v>28.788293999999997</v>
      </c>
      <c r="T44" s="260">
        <v>28.827693999999997</v>
      </c>
      <c r="U44" s="260">
        <v>28.866935999999999</v>
      </c>
      <c r="V44" s="260">
        <v>28.906025999999997</v>
      </c>
      <c r="W44" s="260">
        <v>28.944962999999998</v>
      </c>
      <c r="X44" s="260">
        <v>28.983746999999997</v>
      </c>
      <c r="Y44" s="260">
        <v>29.022378</v>
      </c>
      <c r="Z44" s="260">
        <v>29.060855999999998</v>
      </c>
      <c r="AA44" s="260">
        <v>29.099179999999997</v>
      </c>
      <c r="AB44" s="260">
        <v>29.137349999999998</v>
      </c>
      <c r="AC44" s="260">
        <v>29.175366</v>
      </c>
      <c r="AD44" s="260">
        <v>29.213225999999999</v>
      </c>
      <c r="AE44" s="260">
        <v>29.250931999999999</v>
      </c>
      <c r="AF44" s="260">
        <v>29.288480999999997</v>
      </c>
      <c r="AG44" s="260">
        <v>29.325875999999997</v>
      </c>
      <c r="AH44" s="260">
        <v>29.363113999999999</v>
      </c>
      <c r="AI44" s="260">
        <v>29.400195</v>
      </c>
      <c r="AJ44" s="260">
        <v>29.43712</v>
      </c>
      <c r="AK44" s="260">
        <v>29.473887999999999</v>
      </c>
      <c r="AL44" s="260">
        <v>29.510498999999999</v>
      </c>
      <c r="AM44" s="260">
        <v>29.546952999999998</v>
      </c>
      <c r="AN44" s="260">
        <v>29.583248999999999</v>
      </c>
      <c r="AO44" s="260">
        <v>29.619387</v>
      </c>
      <c r="AP44" s="260">
        <v>29.655366999999998</v>
      </c>
      <c r="AQ44" s="260">
        <v>29.691188999999998</v>
      </c>
      <c r="AR44" s="260">
        <v>29.726852999999998</v>
      </c>
      <c r="AS44" s="260">
        <v>29.762357999999999</v>
      </c>
      <c r="AT44" s="260">
        <v>29.797704999999997</v>
      </c>
      <c r="AU44" s="260">
        <v>29.832892999999999</v>
      </c>
      <c r="AV44" s="260">
        <v>29.867922</v>
      </c>
      <c r="AW44" s="260">
        <v>29.902791999999998</v>
      </c>
      <c r="AX44" s="260">
        <v>29.937501999999999</v>
      </c>
      <c r="AY44" s="260">
        <v>29.972054</v>
      </c>
      <c r="AZ44" s="260">
        <v>30.006446</v>
      </c>
      <c r="BA44" s="260">
        <v>30.040678999999997</v>
      </c>
      <c r="BB44" s="260">
        <v>30.074752999999998</v>
      </c>
      <c r="BC44" s="260">
        <v>30.108666999999997</v>
      </c>
      <c r="BD44" s="260">
        <v>30.142422</v>
      </c>
      <c r="BE44" s="260">
        <v>30.176016999999998</v>
      </c>
      <c r="BF44" s="260">
        <v>30.209453</v>
      </c>
      <c r="BG44" s="260">
        <v>30.242729999999998</v>
      </c>
      <c r="BH44" s="260">
        <v>30.275845999999998</v>
      </c>
      <c r="BI44" s="260">
        <v>30.308803999999999</v>
      </c>
      <c r="BJ44" s="260">
        <v>30.341601999999998</v>
      </c>
      <c r="BK44" s="260">
        <v>30.374240999999998</v>
      </c>
      <c r="BL44" s="260">
        <v>30.40672</v>
      </c>
      <c r="BM44" s="260">
        <v>30.439041</v>
      </c>
      <c r="BN44" s="260">
        <v>30.471201999999998</v>
      </c>
      <c r="BO44" s="260">
        <v>30.503204</v>
      </c>
      <c r="BP44" s="260">
        <v>30.535046999999999</v>
      </c>
      <c r="BQ44" s="260">
        <v>30.566730999999997</v>
      </c>
      <c r="BR44" s="260">
        <v>30.598257</v>
      </c>
      <c r="BS44" s="260">
        <v>30.629624</v>
      </c>
      <c r="BT44" s="260">
        <v>30.660833</v>
      </c>
      <c r="BU44" s="260">
        <v>30.691883999999998</v>
      </c>
      <c r="BV44" s="260">
        <v>30.722776</v>
      </c>
      <c r="BW44" s="260">
        <v>30.753511</v>
      </c>
      <c r="BX44" s="260">
        <v>30.784087</v>
      </c>
      <c r="BY44" s="260">
        <v>30.814506999999999</v>
      </c>
      <c r="BZ44" s="260">
        <v>30.844768999999999</v>
      </c>
      <c r="CA44" s="260">
        <v>30.874872999999997</v>
      </c>
      <c r="CB44" s="260">
        <v>30.904820999999998</v>
      </c>
      <c r="CC44" s="260">
        <v>30.934612999999999</v>
      </c>
      <c r="CD44" s="260">
        <v>30.964247</v>
      </c>
      <c r="CE44" s="260">
        <v>30.993725999999999</v>
      </c>
      <c r="CF44" s="260">
        <v>31.023049</v>
      </c>
      <c r="CG44" s="260">
        <v>31.052215999999998</v>
      </c>
      <c r="CH44" s="260">
        <v>31.081227999999999</v>
      </c>
    </row>
    <row r="45" spans="1:86" x14ac:dyDescent="0.25">
      <c r="A45" s="170">
        <v>1</v>
      </c>
      <c r="B45" s="170">
        <v>44</v>
      </c>
      <c r="C45" s="259">
        <v>27.764476776123047</v>
      </c>
      <c r="D45" s="259">
        <v>27.83381462097168</v>
      </c>
      <c r="E45" s="259">
        <v>27.902153015136719</v>
      </c>
      <c r="F45" s="259">
        <v>27.969505310058594</v>
      </c>
      <c r="G45" s="259">
        <v>28.035888671875</v>
      </c>
      <c r="H45" s="259">
        <v>28.101316452026367</v>
      </c>
      <c r="I45" s="260">
        <v>27.945049999999998</v>
      </c>
      <c r="J45" s="260">
        <v>27.987466999999999</v>
      </c>
      <c r="K45" s="260">
        <v>28.029519999999998</v>
      </c>
      <c r="L45" s="260">
        <v>28.071244</v>
      </c>
      <c r="M45" s="260">
        <v>28.112672</v>
      </c>
      <c r="N45" s="260">
        <v>28.153831</v>
      </c>
      <c r="O45" s="260">
        <v>28.194747</v>
      </c>
      <c r="P45" s="260">
        <v>28.235441999999999</v>
      </c>
      <c r="Q45" s="260">
        <v>28.275932999999998</v>
      </c>
      <c r="R45" s="260">
        <v>28.316237999999998</v>
      </c>
      <c r="S45" s="260">
        <v>28.356368999999997</v>
      </c>
      <c r="T45" s="260">
        <v>28.396335999999998</v>
      </c>
      <c r="U45" s="260">
        <v>28.436145999999997</v>
      </c>
      <c r="V45" s="260">
        <v>28.475801999999998</v>
      </c>
      <c r="W45" s="260">
        <v>28.515307</v>
      </c>
      <c r="X45" s="260">
        <v>28.554658999999997</v>
      </c>
      <c r="Y45" s="260">
        <v>28.593858999999998</v>
      </c>
      <c r="Z45" s="260">
        <v>28.632904999999997</v>
      </c>
      <c r="AA45" s="260">
        <v>28.671796999999998</v>
      </c>
      <c r="AB45" s="260">
        <v>28.710535999999998</v>
      </c>
      <c r="AC45" s="260">
        <v>28.749119999999998</v>
      </c>
      <c r="AD45" s="260">
        <v>28.787548999999999</v>
      </c>
      <c r="AE45" s="260">
        <v>28.825823</v>
      </c>
      <c r="AF45" s="260">
        <v>28.863940999999997</v>
      </c>
      <c r="AG45" s="260">
        <v>28.901902999999997</v>
      </c>
      <c r="AH45" s="260">
        <v>28.939708999999997</v>
      </c>
      <c r="AI45" s="260">
        <v>28.977359</v>
      </c>
      <c r="AJ45" s="260">
        <v>29.014851999999998</v>
      </c>
      <c r="AK45" s="260">
        <v>29.052187999999997</v>
      </c>
      <c r="AL45" s="260">
        <v>29.089365999999998</v>
      </c>
      <c r="AM45" s="260">
        <v>29.126386</v>
      </c>
      <c r="AN45" s="260">
        <v>29.163249</v>
      </c>
      <c r="AO45" s="260">
        <v>29.199952999999997</v>
      </c>
      <c r="AP45" s="260">
        <v>29.236498999999998</v>
      </c>
      <c r="AQ45" s="260">
        <v>29.272886999999997</v>
      </c>
      <c r="AR45" s="260">
        <v>29.309114999999998</v>
      </c>
      <c r="AS45" s="260">
        <v>29.345184999999997</v>
      </c>
      <c r="AT45" s="260">
        <v>29.381094999999998</v>
      </c>
      <c r="AU45" s="260">
        <v>29.416846</v>
      </c>
      <c r="AV45" s="260">
        <v>29.452437999999997</v>
      </c>
      <c r="AW45" s="260">
        <v>29.487869999999997</v>
      </c>
      <c r="AX45" s="260">
        <v>29.523142</v>
      </c>
      <c r="AY45" s="260">
        <v>29.558253999999998</v>
      </c>
      <c r="AZ45" s="260">
        <v>29.593205999999999</v>
      </c>
      <c r="BA45" s="260">
        <v>29.627997999999998</v>
      </c>
      <c r="BB45" s="260">
        <v>29.66263</v>
      </c>
      <c r="BC45" s="260">
        <v>29.697101999999997</v>
      </c>
      <c r="BD45" s="260">
        <v>29.731413</v>
      </c>
      <c r="BE45" s="260">
        <v>29.765563999999998</v>
      </c>
      <c r="BF45" s="260">
        <v>29.799554999999998</v>
      </c>
      <c r="BG45" s="260">
        <v>29.833385</v>
      </c>
      <c r="BH45" s="260">
        <v>29.867054</v>
      </c>
      <c r="BI45" s="260">
        <v>29.900563999999999</v>
      </c>
      <c r="BJ45" s="260">
        <v>29.933912999999997</v>
      </c>
      <c r="BK45" s="260">
        <v>29.967101</v>
      </c>
      <c r="BL45" s="260">
        <v>30.000129999999999</v>
      </c>
      <c r="BM45" s="260">
        <v>30.032997999999999</v>
      </c>
      <c r="BN45" s="260">
        <v>30.065704999999998</v>
      </c>
      <c r="BO45" s="260">
        <v>30.098253</v>
      </c>
      <c r="BP45" s="260">
        <v>30.13064</v>
      </c>
      <c r="BQ45" s="260">
        <v>30.162868</v>
      </c>
      <c r="BR45" s="260">
        <v>30.194934999999997</v>
      </c>
      <c r="BS45" s="260">
        <v>30.226842999999999</v>
      </c>
      <c r="BT45" s="260">
        <v>30.258590999999999</v>
      </c>
      <c r="BU45" s="260">
        <v>30.290179999999999</v>
      </c>
      <c r="BV45" s="260">
        <v>30.321608999999999</v>
      </c>
      <c r="BW45" s="260">
        <v>30.352878999999998</v>
      </c>
      <c r="BX45" s="260">
        <v>30.383989999999997</v>
      </c>
      <c r="BY45" s="260">
        <v>30.414942</v>
      </c>
      <c r="BZ45" s="260">
        <v>30.445734999999999</v>
      </c>
      <c r="CA45" s="260">
        <v>30.476369999999999</v>
      </c>
      <c r="CB45" s="260">
        <v>30.506845999999999</v>
      </c>
      <c r="CC45" s="260">
        <v>30.537163999999997</v>
      </c>
      <c r="CD45" s="260">
        <v>30.567325</v>
      </c>
      <c r="CE45" s="260">
        <v>30.597327999999997</v>
      </c>
      <c r="CF45" s="260">
        <v>30.627172999999999</v>
      </c>
      <c r="CG45" s="260">
        <v>30.656860999999999</v>
      </c>
      <c r="CH45" s="260">
        <v>30.686391999999998</v>
      </c>
    </row>
    <row r="46" spans="1:86" x14ac:dyDescent="0.25">
      <c r="A46" s="170">
        <v>1</v>
      </c>
      <c r="B46" s="170">
        <v>45</v>
      </c>
      <c r="C46" s="259">
        <v>27.28346061706543</v>
      </c>
      <c r="D46" s="259">
        <v>27.353963851928711</v>
      </c>
      <c r="E46" s="259">
        <v>27.423460006713867</v>
      </c>
      <c r="F46" s="259">
        <v>27.491968154907227</v>
      </c>
      <c r="G46" s="259">
        <v>27.559501647949219</v>
      </c>
      <c r="H46" s="259">
        <v>27.626077651977539</v>
      </c>
      <c r="I46" s="260">
        <v>27.498821</v>
      </c>
      <c r="J46" s="260">
        <v>27.541902</v>
      </c>
      <c r="K46" s="260">
        <v>27.584595999999998</v>
      </c>
      <c r="L46" s="260">
        <v>27.626942</v>
      </c>
      <c r="M46" s="260">
        <v>27.668976999999998</v>
      </c>
      <c r="N46" s="260">
        <v>27.710732</v>
      </c>
      <c r="O46" s="260">
        <v>27.752234999999999</v>
      </c>
      <c r="P46" s="260">
        <v>27.793509999999998</v>
      </c>
      <c r="Q46" s="260">
        <v>27.834578</v>
      </c>
      <c r="R46" s="260">
        <v>27.875456</v>
      </c>
      <c r="S46" s="260">
        <v>27.916159999999998</v>
      </c>
      <c r="T46" s="260">
        <v>27.956699</v>
      </c>
      <c r="U46" s="260">
        <v>27.99708</v>
      </c>
      <c r="V46" s="260">
        <v>28.037309</v>
      </c>
      <c r="W46" s="260">
        <v>28.077385999999997</v>
      </c>
      <c r="X46" s="260">
        <v>28.117310999999997</v>
      </c>
      <c r="Y46" s="260">
        <v>28.157083999999998</v>
      </c>
      <c r="Z46" s="260">
        <v>28.196704</v>
      </c>
      <c r="AA46" s="260">
        <v>28.236169999999998</v>
      </c>
      <c r="AB46" s="260">
        <v>28.275482</v>
      </c>
      <c r="AC46" s="260">
        <v>28.314639999999997</v>
      </c>
      <c r="AD46" s="260">
        <v>28.353642999999998</v>
      </c>
      <c r="AE46" s="260">
        <v>28.392489999999999</v>
      </c>
      <c r="AF46" s="260">
        <v>28.431182999999997</v>
      </c>
      <c r="AG46" s="260">
        <v>28.469718999999998</v>
      </c>
      <c r="AH46" s="260">
        <v>28.508098999999998</v>
      </c>
      <c r="AI46" s="260">
        <v>28.546322</v>
      </c>
      <c r="AJ46" s="260">
        <v>28.584388999999998</v>
      </c>
      <c r="AK46" s="260">
        <v>28.622297999999997</v>
      </c>
      <c r="AL46" s="260">
        <v>28.660048999999997</v>
      </c>
      <c r="AM46" s="260">
        <v>28.697641999999998</v>
      </c>
      <c r="AN46" s="260">
        <v>28.735077999999998</v>
      </c>
      <c r="AO46" s="260">
        <v>28.772354</v>
      </c>
      <c r="AP46" s="260">
        <v>28.809472</v>
      </c>
      <c r="AQ46" s="260">
        <v>28.846430999999999</v>
      </c>
      <c r="AR46" s="260">
        <v>28.883230999999999</v>
      </c>
      <c r="AS46" s="260">
        <v>28.919870999999997</v>
      </c>
      <c r="AT46" s="260">
        <v>28.956350999999998</v>
      </c>
      <c r="AU46" s="260">
        <v>28.992671999999999</v>
      </c>
      <c r="AV46" s="260">
        <v>29.028831999999998</v>
      </c>
      <c r="AW46" s="260">
        <v>29.064831999999999</v>
      </c>
      <c r="AX46" s="260">
        <v>29.100671999999999</v>
      </c>
      <c r="AY46" s="260">
        <v>29.136350999999998</v>
      </c>
      <c r="AZ46" s="260">
        <v>29.171869999999998</v>
      </c>
      <c r="BA46" s="260">
        <v>29.207227</v>
      </c>
      <c r="BB46" s="260">
        <v>29.242424</v>
      </c>
      <c r="BC46" s="260">
        <v>29.277459999999998</v>
      </c>
      <c r="BD46" s="260">
        <v>29.312334999999997</v>
      </c>
      <c r="BE46" s="260">
        <v>29.347047999999997</v>
      </c>
      <c r="BF46" s="260">
        <v>29.381599999999999</v>
      </c>
      <c r="BG46" s="260">
        <v>29.415990999999998</v>
      </c>
      <c r="BH46" s="260">
        <v>29.450219999999998</v>
      </c>
      <c r="BI46" s="260">
        <v>29.484287999999999</v>
      </c>
      <c r="BJ46" s="260">
        <v>29.518194999999999</v>
      </c>
      <c r="BK46" s="260">
        <v>29.551940999999999</v>
      </c>
      <c r="BL46" s="260">
        <v>29.585523999999999</v>
      </c>
      <c r="BM46" s="260">
        <v>29.618946999999999</v>
      </c>
      <c r="BN46" s="260">
        <v>29.652207999999998</v>
      </c>
      <c r="BO46" s="260">
        <v>29.685307999999999</v>
      </c>
      <c r="BP46" s="260">
        <v>29.718246999999998</v>
      </c>
      <c r="BQ46" s="260">
        <v>29.751024999999998</v>
      </c>
      <c r="BR46" s="260">
        <v>29.783640999999999</v>
      </c>
      <c r="BS46" s="260">
        <v>29.816096999999999</v>
      </c>
      <c r="BT46" s="260">
        <v>29.848390999999999</v>
      </c>
      <c r="BU46" s="260">
        <v>29.880524999999999</v>
      </c>
      <c r="BV46" s="260">
        <v>29.912497999999999</v>
      </c>
      <c r="BW46" s="260">
        <v>29.944310999999999</v>
      </c>
      <c r="BX46" s="260">
        <v>29.975963</v>
      </c>
      <c r="BY46" s="260">
        <v>30.007455</v>
      </c>
      <c r="BZ46" s="260">
        <v>30.038786999999999</v>
      </c>
      <c r="CA46" s="260">
        <v>30.069958999999997</v>
      </c>
      <c r="CB46" s="260">
        <v>30.100970999999998</v>
      </c>
      <c r="CC46" s="260">
        <v>30.131823999999998</v>
      </c>
      <c r="CD46" s="260">
        <v>30.162517999999999</v>
      </c>
      <c r="CE46" s="260">
        <v>30.193051999999998</v>
      </c>
      <c r="CF46" s="260">
        <v>30.223426999999997</v>
      </c>
      <c r="CG46" s="260">
        <v>30.253643999999998</v>
      </c>
      <c r="CH46" s="260">
        <v>30.283702999999999</v>
      </c>
    </row>
    <row r="47" spans="1:86" x14ac:dyDescent="0.25">
      <c r="A47" s="170">
        <v>1</v>
      </c>
      <c r="B47" s="170">
        <v>46</v>
      </c>
      <c r="C47" s="259">
        <v>26.794265747070313</v>
      </c>
      <c r="D47" s="259">
        <v>26.865812301635742</v>
      </c>
      <c r="E47" s="259">
        <v>26.936357498168945</v>
      </c>
      <c r="F47" s="259">
        <v>27.005912780761719</v>
      </c>
      <c r="G47" s="259">
        <v>27.074497222900391</v>
      </c>
      <c r="H47" s="259">
        <v>27.142122268676758</v>
      </c>
      <c r="I47" s="260">
        <v>27.04402</v>
      </c>
      <c r="J47" s="260">
        <v>27.087790999999999</v>
      </c>
      <c r="K47" s="260">
        <v>27.131145999999998</v>
      </c>
      <c r="L47" s="260">
        <v>27.174130999999999</v>
      </c>
      <c r="M47" s="260">
        <v>27.216784999999998</v>
      </c>
      <c r="N47" s="260">
        <v>27.259146999999999</v>
      </c>
      <c r="O47" s="260">
        <v>27.301244999999998</v>
      </c>
      <c r="P47" s="260">
        <v>27.343107999999997</v>
      </c>
      <c r="Q47" s="260">
        <v>27.384758999999999</v>
      </c>
      <c r="R47" s="260">
        <v>27.426217999999999</v>
      </c>
      <c r="S47" s="260">
        <v>27.467499</v>
      </c>
      <c r="T47" s="260">
        <v>27.508613999999998</v>
      </c>
      <c r="U47" s="260">
        <v>27.549572999999999</v>
      </c>
      <c r="V47" s="260">
        <v>27.590378999999999</v>
      </c>
      <c r="W47" s="260">
        <v>27.631034</v>
      </c>
      <c r="X47" s="260">
        <v>27.671536999999997</v>
      </c>
      <c r="Y47" s="260">
        <v>27.711887999999998</v>
      </c>
      <c r="Z47" s="260">
        <v>27.752085999999998</v>
      </c>
      <c r="AA47" s="260">
        <v>27.792130999999998</v>
      </c>
      <c r="AB47" s="260">
        <v>27.832023</v>
      </c>
      <c r="AC47" s="260">
        <v>27.871759999999998</v>
      </c>
      <c r="AD47" s="260">
        <v>27.911341999999998</v>
      </c>
      <c r="AE47" s="260">
        <v>27.950769999999999</v>
      </c>
      <c r="AF47" s="260">
        <v>27.990041999999999</v>
      </c>
      <c r="AG47" s="260">
        <v>28.029156999999998</v>
      </c>
      <c r="AH47" s="260">
        <v>28.068116999999997</v>
      </c>
      <c r="AI47" s="260">
        <v>28.106919999999999</v>
      </c>
      <c r="AJ47" s="260">
        <v>28.145565999999999</v>
      </c>
      <c r="AK47" s="260">
        <v>28.184054</v>
      </c>
      <c r="AL47" s="260">
        <v>28.222383999999998</v>
      </c>
      <c r="AM47" s="260">
        <v>28.260556999999999</v>
      </c>
      <c r="AN47" s="260">
        <v>28.298570999999999</v>
      </c>
      <c r="AO47" s="260">
        <v>28.336425999999999</v>
      </c>
      <c r="AP47" s="260">
        <v>28.374122</v>
      </c>
      <c r="AQ47" s="260">
        <v>28.411657999999999</v>
      </c>
      <c r="AR47" s="260">
        <v>28.449034999999999</v>
      </c>
      <c r="AS47" s="260">
        <v>28.486252</v>
      </c>
      <c r="AT47" s="260">
        <v>28.523308999999998</v>
      </c>
      <c r="AU47" s="260">
        <v>28.560205999999997</v>
      </c>
      <c r="AV47" s="260">
        <v>28.596941999999999</v>
      </c>
      <c r="AW47" s="260">
        <v>28.633516999999998</v>
      </c>
      <c r="AX47" s="260">
        <v>28.669930999999998</v>
      </c>
      <c r="AY47" s="260">
        <v>28.706184</v>
      </c>
      <c r="AZ47" s="260">
        <v>28.742274999999999</v>
      </c>
      <c r="BA47" s="260">
        <v>28.778205</v>
      </c>
      <c r="BB47" s="260">
        <v>28.813973999999998</v>
      </c>
      <c r="BC47" s="260">
        <v>28.84958</v>
      </c>
      <c r="BD47" s="260">
        <v>28.885024999999999</v>
      </c>
      <c r="BE47" s="260">
        <v>28.920307999999999</v>
      </c>
      <c r="BF47" s="260">
        <v>28.955427999999998</v>
      </c>
      <c r="BG47" s="260">
        <v>28.990386999999998</v>
      </c>
      <c r="BH47" s="260">
        <v>29.025182999999998</v>
      </c>
      <c r="BI47" s="260">
        <v>29.059816999999999</v>
      </c>
      <c r="BJ47" s="260">
        <v>29.094287999999999</v>
      </c>
      <c r="BK47" s="260">
        <v>29.128596999999999</v>
      </c>
      <c r="BL47" s="260">
        <v>29.162744</v>
      </c>
      <c r="BM47" s="260">
        <v>29.196728999999998</v>
      </c>
      <c r="BN47" s="260">
        <v>29.230550999999998</v>
      </c>
      <c r="BO47" s="260">
        <v>29.264209999999999</v>
      </c>
      <c r="BP47" s="260">
        <v>29.297708</v>
      </c>
      <c r="BQ47" s="260">
        <v>29.331042999999998</v>
      </c>
      <c r="BR47" s="260">
        <v>29.364214999999998</v>
      </c>
      <c r="BS47" s="260">
        <v>29.397226</v>
      </c>
      <c r="BT47" s="260">
        <v>29.430073999999998</v>
      </c>
      <c r="BU47" s="260">
        <v>29.462761</v>
      </c>
      <c r="BV47" s="260">
        <v>29.495284999999999</v>
      </c>
      <c r="BW47" s="260">
        <v>29.527647999999999</v>
      </c>
      <c r="BX47" s="260">
        <v>29.559849</v>
      </c>
      <c r="BY47" s="260">
        <v>29.591888999999998</v>
      </c>
      <c r="BZ47" s="260">
        <v>29.623766999999997</v>
      </c>
      <c r="CA47" s="260">
        <v>29.655483999999998</v>
      </c>
      <c r="CB47" s="260">
        <v>29.687038999999999</v>
      </c>
      <c r="CC47" s="260">
        <v>29.718433999999998</v>
      </c>
      <c r="CD47" s="260">
        <v>29.749668</v>
      </c>
      <c r="CE47" s="260">
        <v>29.780740999999999</v>
      </c>
      <c r="CF47" s="260">
        <v>29.811653999999997</v>
      </c>
      <c r="CG47" s="260">
        <v>29.842406999999998</v>
      </c>
      <c r="CH47" s="260">
        <v>29.872999999999998</v>
      </c>
    </row>
    <row r="48" spans="1:86" x14ac:dyDescent="0.25">
      <c r="A48" s="170">
        <v>1</v>
      </c>
      <c r="B48" s="170">
        <v>47</v>
      </c>
      <c r="C48" s="259">
        <v>26.297449111938477</v>
      </c>
      <c r="D48" s="259">
        <v>26.369972229003906</v>
      </c>
      <c r="E48" s="259">
        <v>26.441497802734375</v>
      </c>
      <c r="F48" s="259">
        <v>26.51203727722168</v>
      </c>
      <c r="G48" s="259">
        <v>26.581607818603516</v>
      </c>
      <c r="H48" s="259">
        <v>26.650224685668945</v>
      </c>
      <c r="I48" s="260">
        <v>26.580445999999998</v>
      </c>
      <c r="J48" s="260">
        <v>26.624935999999998</v>
      </c>
      <c r="K48" s="260">
        <v>26.668975999999997</v>
      </c>
      <c r="L48" s="260">
        <v>26.712616999999998</v>
      </c>
      <c r="M48" s="260">
        <v>26.755907999999998</v>
      </c>
      <c r="N48" s="260">
        <v>26.798887999999998</v>
      </c>
      <c r="O48" s="260">
        <v>26.841591999999999</v>
      </c>
      <c r="P48" s="260">
        <v>26.884052000000001</v>
      </c>
      <c r="Q48" s="260">
        <v>26.926292999999998</v>
      </c>
      <c r="R48" s="260">
        <v>26.968336999999998</v>
      </c>
      <c r="S48" s="260">
        <v>27.010202</v>
      </c>
      <c r="T48" s="260">
        <v>27.0519</v>
      </c>
      <c r="U48" s="260">
        <v>27.093440999999999</v>
      </c>
      <c r="V48" s="260">
        <v>27.134829</v>
      </c>
      <c r="W48" s="260">
        <v>27.176067</v>
      </c>
      <c r="X48" s="260">
        <v>27.217153999999997</v>
      </c>
      <c r="Y48" s="260">
        <v>27.258088999999998</v>
      </c>
      <c r="Z48" s="260">
        <v>27.298871999999999</v>
      </c>
      <c r="AA48" s="260">
        <v>27.339500999999998</v>
      </c>
      <c r="AB48" s="260">
        <v>27.379977</v>
      </c>
      <c r="AC48" s="260">
        <v>27.420299</v>
      </c>
      <c r="AD48" s="260">
        <v>27.460466999999998</v>
      </c>
      <c r="AE48" s="260">
        <v>27.50048</v>
      </c>
      <c r="AF48" s="260">
        <v>27.540336999999997</v>
      </c>
      <c r="AG48" s="260">
        <v>27.580038999999999</v>
      </c>
      <c r="AH48" s="260">
        <v>27.619584</v>
      </c>
      <c r="AI48" s="260">
        <v>27.658973</v>
      </c>
      <c r="AJ48" s="260">
        <v>27.698204</v>
      </c>
      <c r="AK48" s="260">
        <v>27.737278</v>
      </c>
      <c r="AL48" s="260">
        <v>27.776194</v>
      </c>
      <c r="AM48" s="260">
        <v>27.814950999999997</v>
      </c>
      <c r="AN48" s="260">
        <v>27.853549999999998</v>
      </c>
      <c r="AO48" s="260">
        <v>27.89199</v>
      </c>
      <c r="AP48" s="260">
        <v>27.930270999999998</v>
      </c>
      <c r="AQ48" s="260">
        <v>27.968391</v>
      </c>
      <c r="AR48" s="260">
        <v>28.006352</v>
      </c>
      <c r="AS48" s="260">
        <v>28.044152999999998</v>
      </c>
      <c r="AT48" s="260">
        <v>28.081792999999998</v>
      </c>
      <c r="AU48" s="260">
        <v>28.119271999999999</v>
      </c>
      <c r="AV48" s="260">
        <v>28.156589999999998</v>
      </c>
      <c r="AW48" s="260">
        <v>28.193746999999998</v>
      </c>
      <c r="AX48" s="260">
        <v>28.230741999999999</v>
      </c>
      <c r="AY48" s="260">
        <v>28.267575999999998</v>
      </c>
      <c r="AZ48" s="260">
        <v>28.304247</v>
      </c>
      <c r="BA48" s="260">
        <v>28.340755999999999</v>
      </c>
      <c r="BB48" s="260">
        <v>28.377102999999998</v>
      </c>
      <c r="BC48" s="260">
        <v>28.413287999999998</v>
      </c>
      <c r="BD48" s="260">
        <v>28.449309999999997</v>
      </c>
      <c r="BE48" s="260">
        <v>28.485168999999999</v>
      </c>
      <c r="BF48" s="260">
        <v>28.520864999999997</v>
      </c>
      <c r="BG48" s="260">
        <v>28.556397999999998</v>
      </c>
      <c r="BH48" s="260">
        <v>28.591767999999998</v>
      </c>
      <c r="BI48" s="260">
        <v>28.626974999999998</v>
      </c>
      <c r="BJ48" s="260">
        <v>28.662018999999997</v>
      </c>
      <c r="BK48" s="260">
        <v>28.696898999999998</v>
      </c>
      <c r="BL48" s="260">
        <v>28.731615999999999</v>
      </c>
      <c r="BM48" s="260">
        <v>28.766169999999999</v>
      </c>
      <c r="BN48" s="260">
        <v>28.800559999999997</v>
      </c>
      <c r="BO48" s="260">
        <v>28.834786999999999</v>
      </c>
      <c r="BP48" s="260">
        <v>28.868849999999998</v>
      </c>
      <c r="BQ48" s="260">
        <v>28.902749999999997</v>
      </c>
      <c r="BR48" s="260">
        <v>28.936487</v>
      </c>
      <c r="BS48" s="260">
        <v>28.97006</v>
      </c>
      <c r="BT48" s="260">
        <v>29.00347</v>
      </c>
      <c r="BU48" s="260">
        <v>29.036715999999998</v>
      </c>
      <c r="BV48" s="260">
        <v>29.069799999999997</v>
      </c>
      <c r="BW48" s="260">
        <v>29.102719999999998</v>
      </c>
      <c r="BX48" s="260">
        <v>29.135477999999999</v>
      </c>
      <c r="BY48" s="260">
        <v>29.168071999999999</v>
      </c>
      <c r="BZ48" s="260">
        <v>29.200503999999999</v>
      </c>
      <c r="CA48" s="260">
        <v>29.232773999999999</v>
      </c>
      <c r="CB48" s="260">
        <v>29.264879999999998</v>
      </c>
      <c r="CC48" s="260">
        <v>29.296824999999998</v>
      </c>
      <c r="CD48" s="260">
        <v>29.328606999999998</v>
      </c>
      <c r="CE48" s="260">
        <v>29.360226999999998</v>
      </c>
      <c r="CF48" s="260">
        <v>29.391686</v>
      </c>
      <c r="CG48" s="260">
        <v>29.422982999999999</v>
      </c>
      <c r="CH48" s="260">
        <v>29.454117999999998</v>
      </c>
    </row>
    <row r="49" spans="1:86" x14ac:dyDescent="0.25">
      <c r="A49" s="170">
        <v>1</v>
      </c>
      <c r="B49" s="170">
        <v>48</v>
      </c>
      <c r="C49" s="259">
        <v>25.792932510375977</v>
      </c>
      <c r="D49" s="259">
        <v>25.866357803344727</v>
      </c>
      <c r="E49" s="259">
        <v>25.938789367675781</v>
      </c>
      <c r="F49" s="259">
        <v>26.010246276855469</v>
      </c>
      <c r="G49" s="259">
        <v>26.080739974975586</v>
      </c>
      <c r="H49" s="259">
        <v>26.150285720825195</v>
      </c>
      <c r="I49" s="260">
        <v>26.108685999999999</v>
      </c>
      <c r="J49" s="260">
        <v>26.153917999999997</v>
      </c>
      <c r="K49" s="260">
        <v>26.198660999999998</v>
      </c>
      <c r="L49" s="260">
        <v>26.242974</v>
      </c>
      <c r="M49" s="260">
        <v>26.286909999999999</v>
      </c>
      <c r="N49" s="260">
        <v>26.330514999999998</v>
      </c>
      <c r="O49" s="260">
        <v>26.373828999999997</v>
      </c>
      <c r="P49" s="260">
        <v>26.416888</v>
      </c>
      <c r="Q49" s="260">
        <v>26.459720999999998</v>
      </c>
      <c r="R49" s="260">
        <v>26.502350999999997</v>
      </c>
      <c r="S49" s="260">
        <v>26.544798999999998</v>
      </c>
      <c r="T49" s="260">
        <v>26.587078999999999</v>
      </c>
      <c r="U49" s="260">
        <v>26.629201999999999</v>
      </c>
      <c r="V49" s="260">
        <v>26.671171999999999</v>
      </c>
      <c r="W49" s="260">
        <v>26.712992999999997</v>
      </c>
      <c r="X49" s="260">
        <v>26.754662999999997</v>
      </c>
      <c r="Y49" s="260">
        <v>26.796181999999998</v>
      </c>
      <c r="Z49" s="260">
        <v>26.837548999999999</v>
      </c>
      <c r="AA49" s="260">
        <v>26.878762999999999</v>
      </c>
      <c r="AB49" s="260">
        <v>26.919823999999998</v>
      </c>
      <c r="AC49" s="260">
        <v>26.960732</v>
      </c>
      <c r="AD49" s="260">
        <v>27.001484999999999</v>
      </c>
      <c r="AE49" s="260">
        <v>27.042083999999999</v>
      </c>
      <c r="AF49" s="260">
        <v>27.082528</v>
      </c>
      <c r="AG49" s="260">
        <v>27.122816</v>
      </c>
      <c r="AH49" s="260">
        <v>27.162946999999999</v>
      </c>
      <c r="AI49" s="260">
        <v>27.202922999999998</v>
      </c>
      <c r="AJ49" s="260">
        <v>27.242740999999999</v>
      </c>
      <c r="AK49" s="260">
        <v>27.282401</v>
      </c>
      <c r="AL49" s="260">
        <v>27.321904</v>
      </c>
      <c r="AM49" s="260">
        <v>27.361248</v>
      </c>
      <c r="AN49" s="260">
        <v>27.400433</v>
      </c>
      <c r="AO49" s="260">
        <v>27.439458999999999</v>
      </c>
      <c r="AP49" s="260">
        <v>27.478325999999999</v>
      </c>
      <c r="AQ49" s="260">
        <v>27.517032999999998</v>
      </c>
      <c r="AR49" s="260">
        <v>27.555578999999998</v>
      </c>
      <c r="AS49" s="260">
        <v>27.593964999999997</v>
      </c>
      <c r="AT49" s="260">
        <v>27.632189999999998</v>
      </c>
      <c r="AU49" s="260">
        <v>27.670254</v>
      </c>
      <c r="AV49" s="260">
        <v>27.708157</v>
      </c>
      <c r="AW49" s="260">
        <v>27.745896999999999</v>
      </c>
      <c r="AX49" s="260">
        <v>27.783476</v>
      </c>
      <c r="AY49" s="260">
        <v>27.820891999999997</v>
      </c>
      <c r="AZ49" s="260">
        <v>27.858145999999998</v>
      </c>
      <c r="BA49" s="260">
        <v>27.895236999999998</v>
      </c>
      <c r="BB49" s="260">
        <v>27.932165999999999</v>
      </c>
      <c r="BC49" s="260">
        <v>27.968930999999998</v>
      </c>
      <c r="BD49" s="260">
        <v>28.005533</v>
      </c>
      <c r="BE49" s="260">
        <v>28.041971</v>
      </c>
      <c r="BF49" s="260">
        <v>28.078246</v>
      </c>
      <c r="BG49" s="260">
        <v>28.114355999999997</v>
      </c>
      <c r="BH49" s="260">
        <v>28.150302999999997</v>
      </c>
      <c r="BI49" s="260">
        <v>28.186086</v>
      </c>
      <c r="BJ49" s="260">
        <v>28.221705</v>
      </c>
      <c r="BK49" s="260">
        <v>28.257159999999999</v>
      </c>
      <c r="BL49" s="260">
        <v>28.292451</v>
      </c>
      <c r="BM49" s="260">
        <v>28.327576999999998</v>
      </c>
      <c r="BN49" s="260">
        <v>28.362537999999997</v>
      </c>
      <c r="BO49" s="260">
        <v>28.397335999999999</v>
      </c>
      <c r="BP49" s="260">
        <v>28.431968999999999</v>
      </c>
      <c r="BQ49" s="260">
        <v>28.466436999999999</v>
      </c>
      <c r="BR49" s="260">
        <v>28.500740999999998</v>
      </c>
      <c r="BS49" s="260">
        <v>28.534879999999998</v>
      </c>
      <c r="BT49" s="260">
        <v>28.568854999999999</v>
      </c>
      <c r="BU49" s="260">
        <v>28.602665999999999</v>
      </c>
      <c r="BV49" s="260">
        <v>28.636312</v>
      </c>
      <c r="BW49" s="260">
        <v>28.669794</v>
      </c>
      <c r="BX49" s="260">
        <v>28.703111999999997</v>
      </c>
      <c r="BY49" s="260">
        <v>28.736265999999997</v>
      </c>
      <c r="BZ49" s="260">
        <v>28.769255999999999</v>
      </c>
      <c r="CA49" s="260">
        <v>28.802081999999999</v>
      </c>
      <c r="CB49" s="260">
        <v>28.834743999999997</v>
      </c>
      <c r="CC49" s="260">
        <v>28.867241999999997</v>
      </c>
      <c r="CD49" s="260">
        <v>28.899576999999997</v>
      </c>
      <c r="CE49" s="260">
        <v>28.931747999999999</v>
      </c>
      <c r="CF49" s="260">
        <v>28.963756</v>
      </c>
      <c r="CG49" s="260">
        <v>28.995601999999998</v>
      </c>
      <c r="CH49" s="260">
        <v>29.027283999999998</v>
      </c>
    </row>
    <row r="50" spans="1:86" x14ac:dyDescent="0.25">
      <c r="A50" s="170">
        <v>1</v>
      </c>
      <c r="B50" s="170">
        <v>49</v>
      </c>
      <c r="C50" s="259">
        <v>25.280551910400391</v>
      </c>
      <c r="D50" s="259">
        <v>25.354801177978516</v>
      </c>
      <c r="E50" s="259">
        <v>25.428070068359375</v>
      </c>
      <c r="F50" s="259">
        <v>25.500373840332031</v>
      </c>
      <c r="G50" s="259">
        <v>25.571722030639648</v>
      </c>
      <c r="H50" s="259">
        <v>25.642131805419922</v>
      </c>
      <c r="I50" s="260">
        <v>25.629011999999999</v>
      </c>
      <c r="J50" s="260">
        <v>25.675006</v>
      </c>
      <c r="K50" s="260">
        <v>25.720468999999998</v>
      </c>
      <c r="L50" s="260">
        <v>25.765463999999998</v>
      </c>
      <c r="M50" s="260">
        <v>25.810053</v>
      </c>
      <c r="N50" s="260">
        <v>25.854285999999998</v>
      </c>
      <c r="O50" s="260">
        <v>25.898211999999997</v>
      </c>
      <c r="P50" s="260">
        <v>25.941869000000001</v>
      </c>
      <c r="Q50" s="260">
        <v>25.985291</v>
      </c>
      <c r="R50" s="260">
        <v>26.028504999999999</v>
      </c>
      <c r="S50" s="260">
        <v>26.071531999999998</v>
      </c>
      <c r="T50" s="260">
        <v>26.114390999999998</v>
      </c>
      <c r="U50" s="260">
        <v>26.157090999999998</v>
      </c>
      <c r="V50" s="260">
        <v>26.199641</v>
      </c>
      <c r="W50" s="260">
        <v>26.242041</v>
      </c>
      <c r="X50" s="260">
        <v>26.284291</v>
      </c>
      <c r="Y50" s="260">
        <v>26.32639</v>
      </c>
      <c r="Z50" s="260">
        <v>26.368337999999998</v>
      </c>
      <c r="AA50" s="260">
        <v>26.410133999999999</v>
      </c>
      <c r="AB50" s="260">
        <v>26.451777999999997</v>
      </c>
      <c r="AC50" s="260">
        <v>26.493268</v>
      </c>
      <c r="AD50" s="260">
        <v>26.534604999999999</v>
      </c>
      <c r="AE50" s="260">
        <v>26.575786999999998</v>
      </c>
      <c r="AF50" s="260">
        <v>26.616814999999999</v>
      </c>
      <c r="AG50" s="260">
        <v>26.657686999999999</v>
      </c>
      <c r="AH50" s="260">
        <v>26.698402999999999</v>
      </c>
      <c r="AI50" s="260">
        <v>26.738962999999998</v>
      </c>
      <c r="AJ50" s="260">
        <v>26.779364999999999</v>
      </c>
      <c r="AK50" s="260">
        <v>26.819610999999998</v>
      </c>
      <c r="AL50" s="260">
        <v>26.859697999999998</v>
      </c>
      <c r="AM50" s="260">
        <v>26.899628</v>
      </c>
      <c r="AN50" s="260">
        <v>26.939397999999997</v>
      </c>
      <c r="AO50" s="260">
        <v>26.979008999999998</v>
      </c>
      <c r="AP50" s="260">
        <v>27.018460999999999</v>
      </c>
      <c r="AQ50" s="260">
        <v>27.057752999999998</v>
      </c>
      <c r="AR50" s="260">
        <v>27.096883999999999</v>
      </c>
      <c r="AS50" s="260">
        <v>27.135853999999998</v>
      </c>
      <c r="AT50" s="260">
        <v>27.174664</v>
      </c>
      <c r="AU50" s="260">
        <v>27.213311999999998</v>
      </c>
      <c r="AV50" s="260">
        <v>27.251797999999997</v>
      </c>
      <c r="AW50" s="260">
        <v>27.290122</v>
      </c>
      <c r="AX50" s="260">
        <v>27.328284</v>
      </c>
      <c r="AY50" s="260">
        <v>27.366282999999999</v>
      </c>
      <c r="AZ50" s="260">
        <v>27.404118999999998</v>
      </c>
      <c r="BA50" s="260">
        <v>27.441792</v>
      </c>
      <c r="BB50" s="260">
        <v>27.479301</v>
      </c>
      <c r="BC50" s="260">
        <v>27.516646999999999</v>
      </c>
      <c r="BD50" s="260">
        <v>27.553829</v>
      </c>
      <c r="BE50" s="260">
        <v>27.590847</v>
      </c>
      <c r="BF50" s="260">
        <v>27.627700999999998</v>
      </c>
      <c r="BG50" s="260">
        <v>27.664389999999997</v>
      </c>
      <c r="BH50" s="260">
        <v>27.700913999999997</v>
      </c>
      <c r="BI50" s="260">
        <v>27.737273999999999</v>
      </c>
      <c r="BJ50" s="260">
        <v>27.773468999999999</v>
      </c>
      <c r="BK50" s="260">
        <v>27.809498999999999</v>
      </c>
      <c r="BL50" s="260">
        <v>27.845364</v>
      </c>
      <c r="BM50" s="260">
        <v>27.881062999999997</v>
      </c>
      <c r="BN50" s="260">
        <v>27.916598</v>
      </c>
      <c r="BO50" s="260">
        <v>27.951967</v>
      </c>
      <c r="BP50" s="260">
        <v>27.987169999999999</v>
      </c>
      <c r="BQ50" s="260">
        <v>28.022209</v>
      </c>
      <c r="BR50" s="260">
        <v>28.057081</v>
      </c>
      <c r="BS50" s="260">
        <v>28.091788999999999</v>
      </c>
      <c r="BT50" s="260">
        <v>28.126329999999999</v>
      </c>
      <c r="BU50" s="260">
        <v>28.160706999999999</v>
      </c>
      <c r="BV50" s="260">
        <v>28.194917999999998</v>
      </c>
      <c r="BW50" s="260">
        <v>28.228963</v>
      </c>
      <c r="BX50" s="260">
        <v>28.262843</v>
      </c>
      <c r="BY50" s="260">
        <v>28.296557999999997</v>
      </c>
      <c r="BZ50" s="260">
        <v>28.330106999999998</v>
      </c>
      <c r="CA50" s="260">
        <v>28.363491999999997</v>
      </c>
      <c r="CB50" s="260">
        <v>28.396711</v>
      </c>
      <c r="CC50" s="260">
        <v>28.429765999999997</v>
      </c>
      <c r="CD50" s="260">
        <v>28.462654999999998</v>
      </c>
      <c r="CE50" s="260">
        <v>28.495379999999997</v>
      </c>
      <c r="CF50" s="260">
        <v>28.527939999999997</v>
      </c>
      <c r="CG50" s="260">
        <v>28.560336</v>
      </c>
      <c r="CH50" s="260">
        <v>28.592568</v>
      </c>
    </row>
    <row r="51" spans="1:86" x14ac:dyDescent="0.25">
      <c r="A51" s="170">
        <v>1</v>
      </c>
      <c r="B51" s="170">
        <v>50</v>
      </c>
      <c r="C51" s="259">
        <v>24.760261535644531</v>
      </c>
      <c r="D51" s="259">
        <v>24.835256576538086</v>
      </c>
      <c r="E51" s="259">
        <v>24.909286499023438</v>
      </c>
      <c r="F51" s="259">
        <v>24.982362747192383</v>
      </c>
      <c r="G51" s="259">
        <v>25.054496765136719</v>
      </c>
      <c r="H51" s="259">
        <v>25.125699996948242</v>
      </c>
      <c r="I51" s="260">
        <v>25.141838</v>
      </c>
      <c r="J51" s="260">
        <v>25.188610000000001</v>
      </c>
      <c r="K51" s="260">
        <v>25.234802999999999</v>
      </c>
      <c r="L51" s="260">
        <v>25.280487999999998</v>
      </c>
      <c r="M51" s="260">
        <v>25.325730999999998</v>
      </c>
      <c r="N51" s="260">
        <v>25.370593</v>
      </c>
      <c r="O51" s="260">
        <v>25.415126999999998</v>
      </c>
      <c r="P51" s="260">
        <v>25.459375999999999</v>
      </c>
      <c r="Q51" s="260">
        <v>25.50338</v>
      </c>
      <c r="R51" s="260">
        <v>25.547169999999998</v>
      </c>
      <c r="S51" s="260">
        <v>25.590769999999999</v>
      </c>
      <c r="T51" s="260">
        <v>25.634198999999999</v>
      </c>
      <c r="U51" s="260">
        <v>25.677468999999999</v>
      </c>
      <c r="V51" s="260">
        <v>25.720589999999998</v>
      </c>
      <c r="W51" s="260">
        <v>25.763560999999999</v>
      </c>
      <c r="X51" s="260">
        <v>25.806383999999998</v>
      </c>
      <c r="Y51" s="260">
        <v>25.849056999999998</v>
      </c>
      <c r="Z51" s="260">
        <v>25.891579</v>
      </c>
      <c r="AA51" s="260">
        <v>25.933948999999998</v>
      </c>
      <c r="AB51" s="260">
        <v>25.976167999999998</v>
      </c>
      <c r="AC51" s="260">
        <v>26.018234999999997</v>
      </c>
      <c r="AD51" s="260">
        <v>26.060147999999998</v>
      </c>
      <c r="AE51" s="260">
        <v>26.101906999999997</v>
      </c>
      <c r="AF51" s="260">
        <v>26.143512999999999</v>
      </c>
      <c r="AG51" s="260">
        <v>26.184963</v>
      </c>
      <c r="AH51" s="260">
        <v>26.226257</v>
      </c>
      <c r="AI51" s="260">
        <v>26.267395999999998</v>
      </c>
      <c r="AJ51" s="260">
        <v>26.308377999999998</v>
      </c>
      <c r="AK51" s="260">
        <v>26.349202999999999</v>
      </c>
      <c r="AL51" s="260">
        <v>26.389869999999998</v>
      </c>
      <c r="AM51" s="260">
        <v>26.430378999999999</v>
      </c>
      <c r="AN51" s="260">
        <v>26.47073</v>
      </c>
      <c r="AO51" s="260">
        <v>26.510921</v>
      </c>
      <c r="AP51" s="260">
        <v>26.550953</v>
      </c>
      <c r="AQ51" s="260">
        <v>26.590824999999999</v>
      </c>
      <c r="AR51" s="260">
        <v>26.630535999999999</v>
      </c>
      <c r="AS51" s="260">
        <v>26.670086999999999</v>
      </c>
      <c r="AT51" s="260">
        <v>26.709475999999999</v>
      </c>
      <c r="AU51" s="260">
        <v>26.748704</v>
      </c>
      <c r="AV51" s="260">
        <v>26.787769999999998</v>
      </c>
      <c r="AW51" s="260">
        <v>26.826673999999997</v>
      </c>
      <c r="AX51" s="260">
        <v>26.865414999999999</v>
      </c>
      <c r="AY51" s="260">
        <v>26.903993</v>
      </c>
      <c r="AZ51" s="260">
        <v>26.942408</v>
      </c>
      <c r="BA51" s="260">
        <v>26.980658999999999</v>
      </c>
      <c r="BB51" s="260">
        <v>27.018746</v>
      </c>
      <c r="BC51" s="260">
        <v>27.05667</v>
      </c>
      <c r="BD51" s="260">
        <v>27.094428999999998</v>
      </c>
      <c r="BE51" s="260">
        <v>27.132023</v>
      </c>
      <c r="BF51" s="260">
        <v>27.169452999999997</v>
      </c>
      <c r="BG51" s="260">
        <v>27.206717999999999</v>
      </c>
      <c r="BH51" s="260">
        <v>27.243817</v>
      </c>
      <c r="BI51" s="260">
        <v>27.280750999999999</v>
      </c>
      <c r="BJ51" s="260">
        <v>27.317519999999998</v>
      </c>
      <c r="BK51" s="260">
        <v>27.354122999999998</v>
      </c>
      <c r="BL51" s="260">
        <v>27.390559999999997</v>
      </c>
      <c r="BM51" s="260">
        <v>27.426831</v>
      </c>
      <c r="BN51" s="260">
        <v>27.462935999999999</v>
      </c>
      <c r="BO51" s="260">
        <v>27.498874999999998</v>
      </c>
      <c r="BP51" s="260">
        <v>27.534647</v>
      </c>
      <c r="BQ51" s="260">
        <v>27.570253999999998</v>
      </c>
      <c r="BR51" s="260">
        <v>27.605694</v>
      </c>
      <c r="BS51" s="260">
        <v>27.640967</v>
      </c>
      <c r="BT51" s="260">
        <v>27.676074999999997</v>
      </c>
      <c r="BU51" s="260">
        <v>27.711015</v>
      </c>
      <c r="BV51" s="260">
        <v>27.74579</v>
      </c>
      <c r="BW51" s="260">
        <v>27.780396999999997</v>
      </c>
      <c r="BX51" s="260">
        <v>27.814838999999999</v>
      </c>
      <c r="BY51" s="260">
        <v>27.849114</v>
      </c>
      <c r="BZ51" s="260">
        <v>27.883222</v>
      </c>
      <c r="CA51" s="260">
        <v>27.917164999999997</v>
      </c>
      <c r="CB51" s="260">
        <v>27.950941</v>
      </c>
      <c r="CC51" s="260">
        <v>27.984551</v>
      </c>
      <c r="CD51" s="260">
        <v>28.017993999999998</v>
      </c>
      <c r="CE51" s="260">
        <v>28.051271999999997</v>
      </c>
      <c r="CF51" s="260">
        <v>28.084384</v>
      </c>
      <c r="CG51" s="260">
        <v>28.117331</v>
      </c>
      <c r="CH51" s="260">
        <v>28.150112</v>
      </c>
    </row>
    <row r="52" spans="1:86" x14ac:dyDescent="0.25">
      <c r="A52" s="170">
        <v>1</v>
      </c>
      <c r="B52" s="170">
        <v>51</v>
      </c>
      <c r="C52" s="259">
        <v>24.232921600341797</v>
      </c>
      <c r="D52" s="259">
        <v>24.308652877807617</v>
      </c>
      <c r="E52" s="259">
        <v>24.383428573608398</v>
      </c>
      <c r="F52" s="259">
        <v>24.45726203918457</v>
      </c>
      <c r="G52" s="259">
        <v>24.53016471862793</v>
      </c>
      <c r="H52" s="259">
        <v>24.602148056030273</v>
      </c>
      <c r="I52" s="260">
        <v>24.647036</v>
      </c>
      <c r="J52" s="260">
        <v>24.694600999999999</v>
      </c>
      <c r="K52" s="260">
        <v>24.741534999999999</v>
      </c>
      <c r="L52" s="260">
        <v>24.787917</v>
      </c>
      <c r="M52" s="260">
        <v>24.833821</v>
      </c>
      <c r="N52" s="260">
        <v>24.879311999999999</v>
      </c>
      <c r="O52" s="260">
        <v>24.924450999999998</v>
      </c>
      <c r="P52" s="260">
        <v>24.969287999999999</v>
      </c>
      <c r="Q52" s="260">
        <v>25.013867999999999</v>
      </c>
      <c r="R52" s="260">
        <v>25.058225</v>
      </c>
      <c r="S52" s="260">
        <v>25.102388999999999</v>
      </c>
      <c r="T52" s="260">
        <v>25.146380000000001</v>
      </c>
      <c r="U52" s="260">
        <v>25.190213</v>
      </c>
      <c r="V52" s="260">
        <v>25.233895999999998</v>
      </c>
      <c r="W52" s="260">
        <v>25.277431999999997</v>
      </c>
      <c r="X52" s="260">
        <v>25.320819</v>
      </c>
      <c r="Y52" s="260">
        <v>25.364058</v>
      </c>
      <c r="Z52" s="260">
        <v>25.407146999999998</v>
      </c>
      <c r="AA52" s="260">
        <v>25.450084999999998</v>
      </c>
      <c r="AB52" s="260">
        <v>25.492872999999999</v>
      </c>
      <c r="AC52" s="260">
        <v>25.535508</v>
      </c>
      <c r="AD52" s="260">
        <v>25.577990999999997</v>
      </c>
      <c r="AE52" s="260">
        <v>25.620321000000001</v>
      </c>
      <c r="AF52" s="260">
        <v>25.662497999999999</v>
      </c>
      <c r="AG52" s="260">
        <v>25.704519999999999</v>
      </c>
      <c r="AH52" s="260">
        <v>25.746386999999999</v>
      </c>
      <c r="AI52" s="260">
        <v>25.788097999999998</v>
      </c>
      <c r="AJ52" s="260">
        <v>25.829653999999998</v>
      </c>
      <c r="AK52" s="260">
        <v>25.871051999999999</v>
      </c>
      <c r="AL52" s="260">
        <v>25.912293999999999</v>
      </c>
      <c r="AM52" s="260">
        <v>25.953377</v>
      </c>
      <c r="AN52" s="260">
        <v>25.994301999999998</v>
      </c>
      <c r="AO52" s="260">
        <v>26.035069</v>
      </c>
      <c r="AP52" s="260">
        <v>26.075675999999998</v>
      </c>
      <c r="AQ52" s="260">
        <v>26.116122999999998</v>
      </c>
      <c r="AR52" s="260">
        <v>26.156409999999997</v>
      </c>
      <c r="AS52" s="260">
        <v>26.196535999999998</v>
      </c>
      <c r="AT52" s="260">
        <v>26.236501000000001</v>
      </c>
      <c r="AU52" s="260">
        <v>26.276304999999997</v>
      </c>
      <c r="AV52" s="260">
        <v>26.315946</v>
      </c>
      <c r="AW52" s="260">
        <v>26.355425999999998</v>
      </c>
      <c r="AX52" s="260">
        <v>26.394741999999997</v>
      </c>
      <c r="AY52" s="260">
        <v>26.433895</v>
      </c>
      <c r="AZ52" s="260">
        <v>26.472884999999998</v>
      </c>
      <c r="BA52" s="260">
        <v>26.511710999999998</v>
      </c>
      <c r="BB52" s="260">
        <v>26.550373</v>
      </c>
      <c r="BC52" s="260">
        <v>26.588870999999997</v>
      </c>
      <c r="BD52" s="260">
        <v>26.627203999999999</v>
      </c>
      <c r="BE52" s="260">
        <v>26.665371999999998</v>
      </c>
      <c r="BF52" s="260">
        <v>26.703374999999998</v>
      </c>
      <c r="BG52" s="260">
        <v>26.741211999999997</v>
      </c>
      <c r="BH52" s="260">
        <v>26.778883999999998</v>
      </c>
      <c r="BI52" s="260">
        <v>26.816389999999998</v>
      </c>
      <c r="BJ52" s="260">
        <v>26.853728999999998</v>
      </c>
      <c r="BK52" s="260">
        <v>26.890902999999998</v>
      </c>
      <c r="BL52" s="260">
        <v>26.927909999999997</v>
      </c>
      <c r="BM52" s="260">
        <v>26.964749999999999</v>
      </c>
      <c r="BN52" s="260">
        <v>27.001424</v>
      </c>
      <c r="BO52" s="260">
        <v>27.037931</v>
      </c>
      <c r="BP52" s="260">
        <v>27.074269999999999</v>
      </c>
      <c r="BQ52" s="260">
        <v>27.110443</v>
      </c>
      <c r="BR52" s="260">
        <v>27.146449</v>
      </c>
      <c r="BS52" s="260">
        <v>27.182286999999999</v>
      </c>
      <c r="BT52" s="260">
        <v>27.217957999999999</v>
      </c>
      <c r="BU52" s="260">
        <v>27.253461999999999</v>
      </c>
      <c r="BV52" s="260">
        <v>27.288798</v>
      </c>
      <c r="BW52" s="260">
        <v>27.323967</v>
      </c>
      <c r="BX52" s="260">
        <v>27.358968999999998</v>
      </c>
      <c r="BY52" s="260">
        <v>27.393802999999998</v>
      </c>
      <c r="BZ52" s="260">
        <v>27.428469999999997</v>
      </c>
      <c r="CA52" s="260">
        <v>27.462968999999998</v>
      </c>
      <c r="CB52" s="260">
        <v>27.497301</v>
      </c>
      <c r="CC52" s="260">
        <v>27.531465999999998</v>
      </c>
      <c r="CD52" s="260">
        <v>27.565462999999998</v>
      </c>
      <c r="CE52" s="260">
        <v>27.599294</v>
      </c>
      <c r="CF52" s="260">
        <v>27.632956999999998</v>
      </c>
      <c r="CG52" s="260">
        <v>27.666453999999998</v>
      </c>
      <c r="CH52" s="260">
        <v>27.699783999999998</v>
      </c>
    </row>
    <row r="53" spans="1:86" x14ac:dyDescent="0.25">
      <c r="A53" s="170">
        <v>1</v>
      </c>
      <c r="B53" s="170">
        <v>52</v>
      </c>
      <c r="C53" s="259">
        <v>23.698234558105469</v>
      </c>
      <c r="D53" s="259">
        <v>23.774604797363281</v>
      </c>
      <c r="E53" s="259">
        <v>23.850034713745117</v>
      </c>
      <c r="F53" s="259">
        <v>23.924533843994141</v>
      </c>
      <c r="G53" s="259">
        <v>23.998117446899414</v>
      </c>
      <c r="H53" s="259">
        <v>24.070793151855469</v>
      </c>
      <c r="I53" s="260">
        <v>24.144186999999999</v>
      </c>
      <c r="J53" s="260">
        <v>24.192563</v>
      </c>
      <c r="K53" s="260">
        <v>24.240254</v>
      </c>
      <c r="L53" s="260">
        <v>24.287344999999998</v>
      </c>
      <c r="M53" s="260">
        <v>24.333917</v>
      </c>
      <c r="N53" s="260">
        <v>24.380042</v>
      </c>
      <c r="O53" s="260">
        <v>24.425787999999997</v>
      </c>
      <c r="P53" s="260">
        <v>24.471211999999998</v>
      </c>
      <c r="Q53" s="260">
        <v>24.516363999999999</v>
      </c>
      <c r="R53" s="260">
        <v>24.561284999999998</v>
      </c>
      <c r="S53" s="260">
        <v>24.606006999999998</v>
      </c>
      <c r="T53" s="260">
        <v>24.650554</v>
      </c>
      <c r="U53" s="260">
        <v>24.694942999999999</v>
      </c>
      <c r="V53" s="260">
        <v>24.739183000000001</v>
      </c>
      <c r="W53" s="260">
        <v>24.783276999999998</v>
      </c>
      <c r="X53" s="260">
        <v>24.827223</v>
      </c>
      <c r="Y53" s="260">
        <v>24.871022</v>
      </c>
      <c r="Z53" s="260">
        <v>24.914673000000001</v>
      </c>
      <c r="AA53" s="260">
        <v>24.958174</v>
      </c>
      <c r="AB53" s="260">
        <v>25.001524</v>
      </c>
      <c r="AC53" s="260">
        <v>25.044723999999999</v>
      </c>
      <c r="AD53" s="260">
        <v>25.087772999999999</v>
      </c>
      <c r="AE53" s="260">
        <v>25.130668999999997</v>
      </c>
      <c r="AF53" s="260">
        <v>25.173411999999999</v>
      </c>
      <c r="AG53" s="260">
        <v>25.216000999999999</v>
      </c>
      <c r="AH53" s="260">
        <v>25.258436</v>
      </c>
      <c r="AI53" s="260">
        <v>25.300716999999999</v>
      </c>
      <c r="AJ53" s="260">
        <v>25.342841</v>
      </c>
      <c r="AK53" s="260">
        <v>25.384809999999998</v>
      </c>
      <c r="AL53" s="260">
        <v>25.426621999999998</v>
      </c>
      <c r="AM53" s="260">
        <v>25.468275999999999</v>
      </c>
      <c r="AN53" s="260">
        <v>25.509771999999998</v>
      </c>
      <c r="AO53" s="260">
        <v>25.551109999999998</v>
      </c>
      <c r="AP53" s="260">
        <v>25.592288999999997</v>
      </c>
      <c r="AQ53" s="260">
        <v>25.633309000000001</v>
      </c>
      <c r="AR53" s="260">
        <v>25.674167999999998</v>
      </c>
      <c r="AS53" s="260">
        <v>25.714866999999998</v>
      </c>
      <c r="AT53" s="260">
        <v>25.755405</v>
      </c>
      <c r="AU53" s="260">
        <v>25.795781999999999</v>
      </c>
      <c r="AV53" s="260">
        <v>25.835995999999998</v>
      </c>
      <c r="AW53" s="260">
        <v>25.876047999999997</v>
      </c>
      <c r="AX53" s="260">
        <v>25.915938000000001</v>
      </c>
      <c r="AY53" s="260">
        <v>25.955663999999999</v>
      </c>
      <c r="AZ53" s="260">
        <v>25.995227</v>
      </c>
      <c r="BA53" s="260">
        <v>26.034625999999999</v>
      </c>
      <c r="BB53" s="260">
        <v>26.073860999999997</v>
      </c>
      <c r="BC53" s="260">
        <v>26.112931</v>
      </c>
      <c r="BD53" s="260">
        <v>26.151835999999999</v>
      </c>
      <c r="BE53" s="260">
        <v>26.190576</v>
      </c>
      <c r="BF53" s="260">
        <v>26.229149999999997</v>
      </c>
      <c r="BG53" s="260">
        <v>26.267558999999999</v>
      </c>
      <c r="BH53" s="260">
        <v>26.305802</v>
      </c>
      <c r="BI53" s="260">
        <v>26.343878</v>
      </c>
      <c r="BJ53" s="260">
        <v>26.381788</v>
      </c>
      <c r="BK53" s="260">
        <v>26.419530999999999</v>
      </c>
      <c r="BL53" s="260">
        <v>26.457106999999997</v>
      </c>
      <c r="BM53" s="260">
        <v>26.494515999999997</v>
      </c>
      <c r="BN53" s="260">
        <v>26.531756999999999</v>
      </c>
      <c r="BO53" s="260">
        <v>26.568832</v>
      </c>
      <c r="BP53" s="260">
        <v>26.605737999999999</v>
      </c>
      <c r="BQ53" s="260">
        <v>26.642477</v>
      </c>
      <c r="BR53" s="260">
        <v>26.679047999999998</v>
      </c>
      <c r="BS53" s="260">
        <v>26.715449999999997</v>
      </c>
      <c r="BT53" s="260">
        <v>26.751684999999998</v>
      </c>
      <c r="BU53" s="260">
        <v>26.787751999999998</v>
      </c>
      <c r="BV53" s="260">
        <v>26.823649999999997</v>
      </c>
      <c r="BW53" s="260">
        <v>26.859379999999998</v>
      </c>
      <c r="BX53" s="260">
        <v>26.894942</v>
      </c>
      <c r="BY53" s="260">
        <v>26.930336</v>
      </c>
      <c r="BZ53" s="260">
        <v>26.965560999999997</v>
      </c>
      <c r="CA53" s="260">
        <v>27.000617999999999</v>
      </c>
      <c r="CB53" s="260">
        <v>27.035505999999998</v>
      </c>
      <c r="CC53" s="260">
        <v>27.070226999999999</v>
      </c>
      <c r="CD53" s="260">
        <v>27.104778999999997</v>
      </c>
      <c r="CE53" s="260">
        <v>27.139161999999999</v>
      </c>
      <c r="CF53" s="260">
        <v>27.173378</v>
      </c>
      <c r="CG53" s="260">
        <v>27.207425999999998</v>
      </c>
      <c r="CH53" s="260">
        <v>27.241304999999997</v>
      </c>
    </row>
    <row r="54" spans="1:86" x14ac:dyDescent="0.25">
      <c r="A54" s="170">
        <v>1</v>
      </c>
      <c r="B54" s="170">
        <v>53</v>
      </c>
      <c r="C54" s="259">
        <v>23.154064178466797</v>
      </c>
      <c r="D54" s="259">
        <v>23.231025695800781</v>
      </c>
      <c r="E54" s="259">
        <v>23.307064056396484</v>
      </c>
      <c r="F54" s="259">
        <v>23.38218879699707</v>
      </c>
      <c r="G54" s="259">
        <v>23.456411361694336</v>
      </c>
      <c r="H54" s="259">
        <v>23.529743194580078</v>
      </c>
      <c r="I54" s="260">
        <v>23.632458</v>
      </c>
      <c r="J54" s="260">
        <v>23.681670999999998</v>
      </c>
      <c r="K54" s="260">
        <v>23.730142999999998</v>
      </c>
      <c r="L54" s="260">
        <v>23.777963999999997</v>
      </c>
      <c r="M54" s="260">
        <v>23.825220999999999</v>
      </c>
      <c r="N54" s="260">
        <v>23.871994999999998</v>
      </c>
      <c r="O54" s="260">
        <v>23.918358999999999</v>
      </c>
      <c r="P54" s="260">
        <v>23.964376999999999</v>
      </c>
      <c r="Q54" s="260">
        <v>24.010106</v>
      </c>
      <c r="R54" s="260">
        <v>24.055591999999997</v>
      </c>
      <c r="S54" s="260">
        <v>24.100871999999999</v>
      </c>
      <c r="T54" s="260">
        <v>24.145973999999999</v>
      </c>
      <c r="U54" s="260">
        <v>24.190918</v>
      </c>
      <c r="V54" s="260">
        <v>24.235713999999998</v>
      </c>
      <c r="W54" s="260">
        <v>24.280365</v>
      </c>
      <c r="X54" s="260">
        <v>24.324870999999998</v>
      </c>
      <c r="Y54" s="260">
        <v>24.369228999999997</v>
      </c>
      <c r="Z54" s="260">
        <v>24.413439999999998</v>
      </c>
      <c r="AA54" s="260">
        <v>24.457502999999999</v>
      </c>
      <c r="AB54" s="260">
        <v>24.501417</v>
      </c>
      <c r="AC54" s="260">
        <v>24.545180999999999</v>
      </c>
      <c r="AD54" s="260">
        <v>24.588794</v>
      </c>
      <c r="AE54" s="260">
        <v>24.632255999999998</v>
      </c>
      <c r="AF54" s="260">
        <v>24.675566</v>
      </c>
      <c r="AG54" s="260">
        <v>24.718722999999997</v>
      </c>
      <c r="AH54" s="260">
        <v>24.761727</v>
      </c>
      <c r="AI54" s="260">
        <v>24.804575999999997</v>
      </c>
      <c r="AJ54" s="260">
        <v>24.847270999999999</v>
      </c>
      <c r="AK54" s="260">
        <v>24.889809999999997</v>
      </c>
      <c r="AL54" s="260">
        <v>24.932192000000001</v>
      </c>
      <c r="AM54" s="260">
        <v>24.974418</v>
      </c>
      <c r="AN54" s="260">
        <v>25.016486999999998</v>
      </c>
      <c r="AO54" s="260">
        <v>25.058398</v>
      </c>
      <c r="AP54" s="260">
        <v>25.100148999999998</v>
      </c>
      <c r="AQ54" s="260">
        <v>25.141741999999997</v>
      </c>
      <c r="AR54" s="260">
        <v>25.183174999999999</v>
      </c>
      <c r="AS54" s="260">
        <v>25.224447999999999</v>
      </c>
      <c r="AT54" s="260">
        <v>25.265559999999997</v>
      </c>
      <c r="AU54" s="260">
        <v>25.306511</v>
      </c>
      <c r="AV54" s="260">
        <v>25.347300000000001</v>
      </c>
      <c r="AW54" s="260">
        <v>25.387926999999998</v>
      </c>
      <c r="AX54" s="260">
        <v>25.428390999999998</v>
      </c>
      <c r="AY54" s="260">
        <v>25.468691999999997</v>
      </c>
      <c r="AZ54" s="260">
        <v>25.50883</v>
      </c>
      <c r="BA54" s="260">
        <v>25.548804000000001</v>
      </c>
      <c r="BB54" s="260">
        <v>25.588612999999999</v>
      </c>
      <c r="BC54" s="260">
        <v>25.628256999999998</v>
      </c>
      <c r="BD54" s="260">
        <v>25.667736999999999</v>
      </c>
      <c r="BE54" s="260">
        <v>25.707051</v>
      </c>
      <c r="BF54" s="260">
        <v>25.746198999999997</v>
      </c>
      <c r="BG54" s="260">
        <v>25.785181999999999</v>
      </c>
      <c r="BH54" s="260">
        <v>25.823998</v>
      </c>
      <c r="BI54" s="260">
        <v>25.862646999999999</v>
      </c>
      <c r="BJ54" s="260">
        <v>25.901128999999997</v>
      </c>
      <c r="BK54" s="260">
        <v>25.939443999999998</v>
      </c>
      <c r="BL54" s="260">
        <v>25.977591999999998</v>
      </c>
      <c r="BM54" s="260">
        <v>26.015571999999999</v>
      </c>
      <c r="BN54" s="260">
        <v>26.053384999999999</v>
      </c>
      <c r="BO54" s="260">
        <v>26.091028999999999</v>
      </c>
      <c r="BP54" s="260">
        <v>26.128505000000001</v>
      </c>
      <c r="BQ54" s="260">
        <v>26.165813</v>
      </c>
      <c r="BR54" s="260">
        <v>26.202952</v>
      </c>
      <c r="BS54" s="260">
        <v>26.239922</v>
      </c>
      <c r="BT54" s="260">
        <v>26.276723999999998</v>
      </c>
      <c r="BU54" s="260">
        <v>26.313357</v>
      </c>
      <c r="BV54" s="260">
        <v>26.349820999999999</v>
      </c>
      <c r="BW54" s="260">
        <v>26.386115</v>
      </c>
      <c r="BX54" s="260">
        <v>26.422241</v>
      </c>
      <c r="BY54" s="260">
        <v>26.458196999999998</v>
      </c>
      <c r="BZ54" s="260">
        <v>26.493983999999998</v>
      </c>
      <c r="CA54" s="260">
        <v>26.529602000000001</v>
      </c>
      <c r="CB54" s="260">
        <v>26.565051</v>
      </c>
      <c r="CC54" s="260">
        <v>26.60033</v>
      </c>
      <c r="CD54" s="260">
        <v>26.635439999999999</v>
      </c>
      <c r="CE54" s="260">
        <v>26.670380999999999</v>
      </c>
      <c r="CF54" s="260">
        <v>26.705152999999999</v>
      </c>
      <c r="CG54" s="260">
        <v>26.739754999999999</v>
      </c>
      <c r="CH54" s="260">
        <v>26.774189</v>
      </c>
    </row>
    <row r="55" spans="1:86" x14ac:dyDescent="0.25">
      <c r="A55" s="170">
        <v>1</v>
      </c>
      <c r="B55" s="170">
        <v>54</v>
      </c>
      <c r="C55" s="259">
        <v>22.602760314941406</v>
      </c>
      <c r="D55" s="259">
        <v>22.680200576782227</v>
      </c>
      <c r="E55" s="259">
        <v>22.756736755371094</v>
      </c>
      <c r="F55" s="259">
        <v>22.832380294799805</v>
      </c>
      <c r="G55" s="259">
        <v>22.907138824462891</v>
      </c>
      <c r="H55" s="259">
        <v>22.981025695800781</v>
      </c>
      <c r="I55" s="260">
        <v>23.111212999999999</v>
      </c>
      <c r="J55" s="260">
        <v>23.161296</v>
      </c>
      <c r="K55" s="260">
        <v>23.210577999999998</v>
      </c>
      <c r="L55" s="260">
        <v>23.259155999999997</v>
      </c>
      <c r="M55" s="260">
        <v>23.307123999999998</v>
      </c>
      <c r="N55" s="260">
        <v>23.354568</v>
      </c>
      <c r="O55" s="260">
        <v>23.401567</v>
      </c>
      <c r="P55" s="260">
        <v>23.448193999999997</v>
      </c>
      <c r="Q55" s="260">
        <v>23.494509999999998</v>
      </c>
      <c r="R55" s="260">
        <v>23.540568999999998</v>
      </c>
      <c r="S55" s="260">
        <v>23.586413</v>
      </c>
      <c r="T55" s="260">
        <v>23.632073999999999</v>
      </c>
      <c r="U55" s="260">
        <v>23.677575999999998</v>
      </c>
      <c r="V55" s="260">
        <v>23.722930999999999</v>
      </c>
      <c r="W55" s="260">
        <v>23.768141999999997</v>
      </c>
      <c r="X55" s="260">
        <v>23.813207999999999</v>
      </c>
      <c r="Y55" s="260">
        <v>23.858128999999998</v>
      </c>
      <c r="Z55" s="260">
        <v>23.902903999999999</v>
      </c>
      <c r="AA55" s="260">
        <v>23.947531999999999</v>
      </c>
      <c r="AB55" s="260">
        <v>23.992010999999998</v>
      </c>
      <c r="AC55" s="260">
        <v>24.036342999999999</v>
      </c>
      <c r="AD55" s="260">
        <v>24.080524</v>
      </c>
      <c r="AE55" s="260">
        <v>24.124554999999997</v>
      </c>
      <c r="AF55" s="260">
        <v>24.168434999999999</v>
      </c>
      <c r="AG55" s="260">
        <v>24.212163</v>
      </c>
      <c r="AH55" s="260">
        <v>24.255737999999997</v>
      </c>
      <c r="AI55" s="260">
        <v>24.299160000000001</v>
      </c>
      <c r="AJ55" s="260">
        <v>24.342427999999998</v>
      </c>
      <c r="AK55" s="260">
        <v>24.385541</v>
      </c>
      <c r="AL55" s="260">
        <v>24.428497999999998</v>
      </c>
      <c r="AM55" s="260">
        <v>24.471299999999999</v>
      </c>
      <c r="AN55" s="260">
        <v>24.513943999999999</v>
      </c>
      <c r="AO55" s="260">
        <v>24.556431</v>
      </c>
      <c r="AP55" s="260">
        <v>24.598759999999999</v>
      </c>
      <c r="AQ55" s="260">
        <v>24.640929999999997</v>
      </c>
      <c r="AR55" s="260">
        <v>24.682939999999999</v>
      </c>
      <c r="AS55" s="260">
        <v>24.724791</v>
      </c>
      <c r="AT55" s="260">
        <v>24.766482</v>
      </c>
      <c r="AU55" s="260">
        <v>24.808011</v>
      </c>
      <c r="AV55" s="260">
        <v>24.849378999999999</v>
      </c>
      <c r="AW55" s="260">
        <v>24.890584999999998</v>
      </c>
      <c r="AX55" s="260">
        <v>24.931628</v>
      </c>
      <c r="AY55" s="260">
        <v>24.972507999999998</v>
      </c>
      <c r="AZ55" s="260">
        <v>25.013224999999998</v>
      </c>
      <c r="BA55" s="260">
        <v>25.053777999999998</v>
      </c>
      <c r="BB55" s="260">
        <v>25.094166999999999</v>
      </c>
      <c r="BC55" s="260">
        <v>25.13439</v>
      </c>
      <c r="BD55" s="260">
        <v>25.174448999999999</v>
      </c>
      <c r="BE55" s="260">
        <v>25.214341999999998</v>
      </c>
      <c r="BF55" s="260">
        <v>25.254068999999998</v>
      </c>
      <c r="BG55" s="260">
        <v>25.29363</v>
      </c>
      <c r="BH55" s="260">
        <v>25.333023999999998</v>
      </c>
      <c r="BI55" s="260">
        <v>25.372250999999999</v>
      </c>
      <c r="BJ55" s="260">
        <v>25.411310999999998</v>
      </c>
      <c r="BK55" s="260">
        <v>25.450203999999999</v>
      </c>
      <c r="BL55" s="260">
        <v>25.488927999999998</v>
      </c>
      <c r="BM55" s="260">
        <v>25.527484999999999</v>
      </c>
      <c r="BN55" s="260">
        <v>25.565873</v>
      </c>
      <c r="BO55" s="260">
        <v>25.604092999999999</v>
      </c>
      <c r="BP55" s="260">
        <v>25.642143999999998</v>
      </c>
      <c r="BQ55" s="260">
        <v>25.680025999999998</v>
      </c>
      <c r="BR55" s="260">
        <v>25.717738999999998</v>
      </c>
      <c r="BS55" s="260">
        <v>25.755281999999998</v>
      </c>
      <c r="BT55" s="260">
        <v>25.792655999999997</v>
      </c>
      <c r="BU55" s="260">
        <v>25.82986</v>
      </c>
      <c r="BV55" s="260">
        <v>25.866895</v>
      </c>
      <c r="BW55" s="260">
        <v>25.903759999999998</v>
      </c>
      <c r="BX55" s="260">
        <v>25.940455</v>
      </c>
      <c r="BY55" s="260">
        <v>25.976979999999998</v>
      </c>
      <c r="BZ55" s="260">
        <v>26.013334999999998</v>
      </c>
      <c r="CA55" s="260">
        <v>26.049519</v>
      </c>
      <c r="CB55" s="260">
        <v>26.085533999999999</v>
      </c>
      <c r="CC55" s="260">
        <v>26.121378</v>
      </c>
      <c r="CD55" s="260">
        <v>26.157052</v>
      </c>
      <c r="CE55" s="260">
        <v>26.192554999999999</v>
      </c>
      <c r="CF55" s="260">
        <v>26.227888999999998</v>
      </c>
      <c r="CG55" s="260">
        <v>26.263051999999998</v>
      </c>
      <c r="CH55" s="260">
        <v>26.298044999999998</v>
      </c>
    </row>
    <row r="56" spans="1:86" x14ac:dyDescent="0.25">
      <c r="A56" s="170">
        <v>1</v>
      </c>
      <c r="B56" s="170">
        <v>55</v>
      </c>
      <c r="C56" s="259">
        <v>22.045927047729492</v>
      </c>
      <c r="D56" s="259">
        <v>22.123682022094727</v>
      </c>
      <c r="E56" s="259">
        <v>22.200559616088867</v>
      </c>
      <c r="F56" s="259">
        <v>22.276567459106445</v>
      </c>
      <c r="G56" s="259">
        <v>22.351713180541992</v>
      </c>
      <c r="H56" s="259">
        <v>22.426010131835938</v>
      </c>
      <c r="I56" s="260">
        <v>22.586468999999997</v>
      </c>
      <c r="J56" s="260">
        <v>22.637364999999999</v>
      </c>
      <c r="K56" s="260">
        <v>22.687403</v>
      </c>
      <c r="L56" s="260">
        <v>22.736687999999997</v>
      </c>
      <c r="M56" s="260">
        <v>22.785318</v>
      </c>
      <c r="N56" s="260">
        <v>22.833383999999999</v>
      </c>
      <c r="O56" s="260">
        <v>22.880974999999999</v>
      </c>
      <c r="P56" s="260">
        <v>22.928165999999997</v>
      </c>
      <c r="Q56" s="260">
        <v>22.975026999999997</v>
      </c>
      <c r="R56" s="260">
        <v>23.021615999999998</v>
      </c>
      <c r="S56" s="260">
        <v>23.067982000000001</v>
      </c>
      <c r="T56" s="260">
        <v>23.114159999999998</v>
      </c>
      <c r="U56" s="260">
        <v>23.160177999999998</v>
      </c>
      <c r="V56" s="260">
        <v>23.206049999999998</v>
      </c>
      <c r="W56" s="260">
        <v>23.25178</v>
      </c>
      <c r="X56" s="260">
        <v>23.297366999999998</v>
      </c>
      <c r="Y56" s="260">
        <v>23.34281</v>
      </c>
      <c r="Z56" s="260">
        <v>23.388109</v>
      </c>
      <c r="AA56" s="260">
        <v>23.433261999999999</v>
      </c>
      <c r="AB56" s="260">
        <v>23.478268999999997</v>
      </c>
      <c r="AC56" s="260">
        <v>23.523128</v>
      </c>
      <c r="AD56" s="260">
        <v>23.567838999999999</v>
      </c>
      <c r="AE56" s="260">
        <v>23.612401999999999</v>
      </c>
      <c r="AF56" s="260">
        <v>23.656814000000001</v>
      </c>
      <c r="AG56" s="260">
        <v>23.701076</v>
      </c>
      <c r="AH56" s="260">
        <v>23.745186</v>
      </c>
      <c r="AI56" s="260">
        <v>23.789144</v>
      </c>
      <c r="AJ56" s="260">
        <v>23.832947999999998</v>
      </c>
      <c r="AK56" s="260">
        <v>23.876598999999999</v>
      </c>
      <c r="AL56" s="260">
        <v>23.920095999999997</v>
      </c>
      <c r="AM56" s="260">
        <v>23.963436999999999</v>
      </c>
      <c r="AN56" s="260">
        <v>24.006622999999998</v>
      </c>
      <c r="AO56" s="260">
        <v>24.049650999999997</v>
      </c>
      <c r="AP56" s="260">
        <v>24.092523</v>
      </c>
      <c r="AQ56" s="260">
        <v>24.135235999999999</v>
      </c>
      <c r="AR56" s="260">
        <v>24.177790999999999</v>
      </c>
      <c r="AS56" s="260">
        <v>24.220186999999999</v>
      </c>
      <c r="AT56" s="260">
        <v>24.262422999999998</v>
      </c>
      <c r="AU56" s="260">
        <v>24.304497999999999</v>
      </c>
      <c r="AV56" s="260">
        <v>24.346412999999998</v>
      </c>
      <c r="AW56" s="260">
        <v>24.388165999999998</v>
      </c>
      <c r="AX56" s="260">
        <v>24.429756999999999</v>
      </c>
      <c r="AY56" s="260">
        <v>24.471184999999998</v>
      </c>
      <c r="AZ56" s="260">
        <v>24.512449999999998</v>
      </c>
      <c r="BA56" s="260">
        <v>24.553550999999999</v>
      </c>
      <c r="BB56" s="260">
        <v>24.594488999999999</v>
      </c>
      <c r="BC56" s="260">
        <v>24.635261999999997</v>
      </c>
      <c r="BD56" s="260">
        <v>24.67587</v>
      </c>
      <c r="BE56" s="260">
        <v>24.716311999999999</v>
      </c>
      <c r="BF56" s="260">
        <v>24.756588999999998</v>
      </c>
      <c r="BG56" s="260">
        <v>24.796699999999998</v>
      </c>
      <c r="BH56" s="260">
        <v>24.836644</v>
      </c>
      <c r="BI56" s="260">
        <v>24.876421000000001</v>
      </c>
      <c r="BJ56" s="260">
        <v>24.916029999999999</v>
      </c>
      <c r="BK56" s="260">
        <v>24.955472</v>
      </c>
      <c r="BL56" s="260">
        <v>24.994747</v>
      </c>
      <c r="BM56" s="260">
        <v>25.033852</v>
      </c>
      <c r="BN56" s="260">
        <v>25.072789999999998</v>
      </c>
      <c r="BO56" s="260">
        <v>25.111559</v>
      </c>
      <c r="BP56" s="260">
        <v>25.150157999999998</v>
      </c>
      <c r="BQ56" s="260">
        <v>25.188589</v>
      </c>
      <c r="BR56" s="260">
        <v>25.226848999999998</v>
      </c>
      <c r="BS56" s="260">
        <v>25.264941</v>
      </c>
      <c r="BT56" s="260">
        <v>25.302861999999998</v>
      </c>
      <c r="BU56" s="260">
        <v>25.340612999999998</v>
      </c>
      <c r="BV56" s="260">
        <v>25.378194000000001</v>
      </c>
      <c r="BW56" s="260">
        <v>25.415604999999999</v>
      </c>
      <c r="BX56" s="260">
        <v>25.452845</v>
      </c>
      <c r="BY56" s="260">
        <v>25.489915</v>
      </c>
      <c r="BZ56" s="260">
        <v>25.526813999999998</v>
      </c>
      <c r="CA56" s="260">
        <v>25.563541999999998</v>
      </c>
      <c r="CB56" s="260">
        <v>25.600099</v>
      </c>
      <c r="CC56" s="260">
        <v>25.636485</v>
      </c>
      <c r="CD56" s="260">
        <v>25.672701</v>
      </c>
      <c r="CE56" s="260">
        <v>25.708745</v>
      </c>
      <c r="CF56" s="260">
        <v>25.744619</v>
      </c>
      <c r="CG56" s="260">
        <v>25.780320999999997</v>
      </c>
      <c r="CH56" s="260">
        <v>25.815852</v>
      </c>
    </row>
    <row r="57" spans="1:86" x14ac:dyDescent="0.25">
      <c r="A57" s="170">
        <v>1</v>
      </c>
      <c r="B57" s="170">
        <v>56</v>
      </c>
      <c r="C57" s="259">
        <v>21.485317230224609</v>
      </c>
      <c r="D57" s="259">
        <v>21.563272476196289</v>
      </c>
      <c r="E57" s="259">
        <v>21.640375137329102</v>
      </c>
      <c r="F57" s="259">
        <v>21.716634750366211</v>
      </c>
      <c r="G57" s="259">
        <v>21.792055130004883</v>
      </c>
      <c r="H57" s="259">
        <v>21.86665153503418</v>
      </c>
      <c r="I57" s="260">
        <v>22.057690999999998</v>
      </c>
      <c r="J57" s="260">
        <v>22.109341999999998</v>
      </c>
      <c r="K57" s="260">
        <v>22.160083</v>
      </c>
      <c r="L57" s="260">
        <v>22.210023</v>
      </c>
      <c r="M57" s="260">
        <v>22.259266</v>
      </c>
      <c r="N57" s="260">
        <v>22.307911000000001</v>
      </c>
      <c r="O57" s="260">
        <v>22.356047999999998</v>
      </c>
      <c r="P57" s="260">
        <v>22.403762999999998</v>
      </c>
      <c r="Q57" s="260">
        <v>22.451128000000001</v>
      </c>
      <c r="R57" s="260">
        <v>22.498208999999999</v>
      </c>
      <c r="S57" s="260">
        <v>22.545057</v>
      </c>
      <c r="T57" s="260">
        <v>22.591715000000001</v>
      </c>
      <c r="U57" s="260">
        <v>22.638209999999997</v>
      </c>
      <c r="V57" s="260">
        <v>22.684562</v>
      </c>
      <c r="W57" s="260">
        <v>22.730772999999999</v>
      </c>
      <c r="X57" s="260">
        <v>22.776844000000001</v>
      </c>
      <c r="Y57" s="260">
        <v>22.822772000000001</v>
      </c>
      <c r="Z57" s="260">
        <v>22.868558999999998</v>
      </c>
      <c r="AA57" s="260">
        <v>22.914200999999998</v>
      </c>
      <c r="AB57" s="260">
        <v>22.959699000000001</v>
      </c>
      <c r="AC57" s="260">
        <v>23.005050999999998</v>
      </c>
      <c r="AD57" s="260">
        <v>23.050256999999998</v>
      </c>
      <c r="AE57" s="260">
        <v>23.095316</v>
      </c>
      <c r="AF57" s="260">
        <v>23.140225999999998</v>
      </c>
      <c r="AG57" s="260">
        <v>23.184987</v>
      </c>
      <c r="AH57" s="260">
        <v>23.229597999999999</v>
      </c>
      <c r="AI57" s="260">
        <v>23.274058999999998</v>
      </c>
      <c r="AJ57" s="260">
        <v>23.318368</v>
      </c>
      <c r="AK57" s="260">
        <v>23.362524000000001</v>
      </c>
      <c r="AL57" s="260">
        <v>23.406527000000001</v>
      </c>
      <c r="AM57" s="260">
        <v>23.450375999999999</v>
      </c>
      <c r="AN57" s="260">
        <v>23.494070999999998</v>
      </c>
      <c r="AO57" s="260">
        <v>23.537609999999997</v>
      </c>
      <c r="AP57" s="260">
        <v>23.580992999999999</v>
      </c>
      <c r="AQ57" s="260">
        <v>23.624219</v>
      </c>
      <c r="AR57" s="260">
        <v>23.667286999999998</v>
      </c>
      <c r="AS57" s="260">
        <v>23.710196999999997</v>
      </c>
      <c r="AT57" s="260">
        <v>23.752948</v>
      </c>
      <c r="AU57" s="260">
        <v>23.795539999999999</v>
      </c>
      <c r="AV57" s="260">
        <v>23.837972000000001</v>
      </c>
      <c r="AW57" s="260">
        <v>23.880243</v>
      </c>
      <c r="AX57" s="260">
        <v>23.922352</v>
      </c>
      <c r="AY57" s="260">
        <v>23.964299999999998</v>
      </c>
      <c r="AZ57" s="260">
        <v>24.006084999999999</v>
      </c>
      <c r="BA57" s="260">
        <v>24.047706999999999</v>
      </c>
      <c r="BB57" s="260">
        <v>24.089165999999999</v>
      </c>
      <c r="BC57" s="260">
        <v>24.130461</v>
      </c>
      <c r="BD57" s="260">
        <v>24.171590999999999</v>
      </c>
      <c r="BE57" s="260">
        <v>24.212555999999999</v>
      </c>
      <c r="BF57" s="260">
        <v>24.253356</v>
      </c>
      <c r="BG57" s="260">
        <v>24.293989999999997</v>
      </c>
      <c r="BH57" s="260">
        <v>24.334457</v>
      </c>
      <c r="BI57" s="260">
        <v>24.374758</v>
      </c>
      <c r="BJ57" s="260">
        <v>24.414891999999998</v>
      </c>
      <c r="BK57" s="260">
        <v>24.454858999999999</v>
      </c>
      <c r="BL57" s="260">
        <v>24.494657</v>
      </c>
      <c r="BM57" s="260">
        <v>24.534288</v>
      </c>
      <c r="BN57" s="260">
        <v>24.57375</v>
      </c>
      <c r="BO57" s="260">
        <v>24.613043999999999</v>
      </c>
      <c r="BP57" s="260">
        <v>24.652168</v>
      </c>
      <c r="BQ57" s="260">
        <v>24.691122999999997</v>
      </c>
      <c r="BR57" s="260">
        <v>24.729908999999999</v>
      </c>
      <c r="BS57" s="260">
        <v>24.768523999999999</v>
      </c>
      <c r="BT57" s="260">
        <v>24.80697</v>
      </c>
      <c r="BU57" s="260">
        <v>24.845245999999999</v>
      </c>
      <c r="BV57" s="260">
        <v>24.883350999999998</v>
      </c>
      <c r="BW57" s="260">
        <v>24.921284999999997</v>
      </c>
      <c r="BX57" s="260">
        <v>24.959047999999999</v>
      </c>
      <c r="BY57" s="260">
        <v>24.996641</v>
      </c>
      <c r="BZ57" s="260">
        <v>25.034063</v>
      </c>
      <c r="CA57" s="260">
        <v>25.071313</v>
      </c>
      <c r="CB57" s="260">
        <v>25.108391999999998</v>
      </c>
      <c r="CC57" s="260">
        <v>25.145299999999999</v>
      </c>
      <c r="CD57" s="260">
        <v>25.182036</v>
      </c>
      <c r="CE57" s="260">
        <v>25.218601</v>
      </c>
      <c r="CF57" s="260">
        <v>25.254994</v>
      </c>
      <c r="CG57" s="260">
        <v>25.291215999999999</v>
      </c>
      <c r="CH57" s="260">
        <v>25.327265999999998</v>
      </c>
    </row>
    <row r="58" spans="1:86" x14ac:dyDescent="0.25">
      <c r="A58" s="170">
        <v>1</v>
      </c>
      <c r="B58" s="170">
        <v>57</v>
      </c>
      <c r="C58" s="259">
        <v>20.920654296875</v>
      </c>
      <c r="D58" s="259">
        <v>20.99860954284668</v>
      </c>
      <c r="E58" s="259">
        <v>21.075742721557617</v>
      </c>
      <c r="F58" s="259">
        <v>21.152063369750977</v>
      </c>
      <c r="G58" s="259">
        <v>21.227575302124023</v>
      </c>
      <c r="H58" s="259">
        <v>21.302289962768555</v>
      </c>
      <c r="I58" s="260">
        <v>21.524554999999999</v>
      </c>
      <c r="J58" s="260">
        <v>21.576905999999997</v>
      </c>
      <c r="K58" s="260">
        <v>21.628294</v>
      </c>
      <c r="L58" s="260">
        <v>21.678836</v>
      </c>
      <c r="M58" s="260">
        <v>21.728642999999998</v>
      </c>
      <c r="N58" s="260">
        <v>21.777819999999998</v>
      </c>
      <c r="O58" s="260">
        <v>21.826461999999999</v>
      </c>
      <c r="P58" s="260">
        <v>21.874658999999998</v>
      </c>
      <c r="Q58" s="260">
        <v>21.92249</v>
      </c>
      <c r="R58" s="260">
        <v>21.970023999999999</v>
      </c>
      <c r="S58" s="260">
        <v>22.017318</v>
      </c>
      <c r="T58" s="260">
        <v>22.064418</v>
      </c>
      <c r="U58" s="260">
        <v>22.111355</v>
      </c>
      <c r="V58" s="260">
        <v>22.158149999999999</v>
      </c>
      <c r="W58" s="260">
        <v>22.204808</v>
      </c>
      <c r="X58" s="260">
        <v>22.251327</v>
      </c>
      <c r="Y58" s="260">
        <v>22.297705999999998</v>
      </c>
      <c r="Z58" s="260">
        <v>22.343944999999998</v>
      </c>
      <c r="AA58" s="260">
        <v>22.390042999999999</v>
      </c>
      <c r="AB58" s="260">
        <v>22.435997999999998</v>
      </c>
      <c r="AC58" s="260">
        <v>22.481809999999999</v>
      </c>
      <c r="AD58" s="260">
        <v>22.527476999999998</v>
      </c>
      <c r="AE58" s="260">
        <v>22.572998999999999</v>
      </c>
      <c r="AF58" s="260">
        <v>22.618373999999999</v>
      </c>
      <c r="AG58" s="260">
        <v>22.663601999999997</v>
      </c>
      <c r="AH58" s="260">
        <v>22.708683000000001</v>
      </c>
      <c r="AI58" s="260">
        <v>22.753613999999999</v>
      </c>
      <c r="AJ58" s="260">
        <v>22.798394999999999</v>
      </c>
      <c r="AK58" s="260">
        <v>22.843024999999997</v>
      </c>
      <c r="AL58" s="260">
        <v>22.887504</v>
      </c>
      <c r="AM58" s="260">
        <v>22.931830999999999</v>
      </c>
      <c r="AN58" s="260">
        <v>22.976004</v>
      </c>
      <c r="AO58" s="260">
        <v>23.020022999999998</v>
      </c>
      <c r="AP58" s="260">
        <v>23.063887999999999</v>
      </c>
      <c r="AQ58" s="260">
        <v>23.107596999999998</v>
      </c>
      <c r="AR58" s="260">
        <v>23.151149999999998</v>
      </c>
      <c r="AS58" s="260">
        <v>23.194544999999998</v>
      </c>
      <c r="AT58" s="260">
        <v>23.237783</v>
      </c>
      <c r="AU58" s="260">
        <v>23.280863</v>
      </c>
      <c r="AV58" s="260">
        <v>23.323784</v>
      </c>
      <c r="AW58" s="260">
        <v>23.366544999999999</v>
      </c>
      <c r="AX58" s="260">
        <v>23.409146</v>
      </c>
      <c r="AY58" s="260">
        <v>23.451584999999998</v>
      </c>
      <c r="AZ58" s="260">
        <v>23.493863999999999</v>
      </c>
      <c r="BA58" s="260">
        <v>23.535979999999999</v>
      </c>
      <c r="BB58" s="260">
        <v>23.577932999999998</v>
      </c>
      <c r="BC58" s="260">
        <v>23.619723999999998</v>
      </c>
      <c r="BD58" s="260">
        <v>23.661349999999999</v>
      </c>
      <c r="BE58" s="260">
        <v>23.702811999999998</v>
      </c>
      <c r="BF58" s="260">
        <v>23.744109999999999</v>
      </c>
      <c r="BG58" s="260">
        <v>23.785242</v>
      </c>
      <c r="BH58" s="260">
        <v>23.826208999999999</v>
      </c>
      <c r="BI58" s="260">
        <v>23.867008999999999</v>
      </c>
      <c r="BJ58" s="260">
        <v>23.907643</v>
      </c>
      <c r="BK58" s="260">
        <v>23.94811</v>
      </c>
      <c r="BL58" s="260">
        <v>23.988408999999997</v>
      </c>
      <c r="BM58" s="260">
        <v>24.028541000000001</v>
      </c>
      <c r="BN58" s="260">
        <v>24.068503999999997</v>
      </c>
      <c r="BO58" s="260">
        <v>24.108298999999999</v>
      </c>
      <c r="BP58" s="260">
        <v>24.147925999999998</v>
      </c>
      <c r="BQ58" s="260">
        <v>24.187383000000001</v>
      </c>
      <c r="BR58" s="260">
        <v>24.226671</v>
      </c>
      <c r="BS58" s="260">
        <v>24.265788999999998</v>
      </c>
      <c r="BT58" s="260">
        <v>24.304736999999999</v>
      </c>
      <c r="BU58" s="260">
        <v>24.343515</v>
      </c>
      <c r="BV58" s="260">
        <v>24.382121999999999</v>
      </c>
      <c r="BW58" s="260">
        <v>24.420558999999997</v>
      </c>
      <c r="BX58" s="260">
        <v>24.458824999999997</v>
      </c>
      <c r="BY58" s="260">
        <v>24.496919999999999</v>
      </c>
      <c r="BZ58" s="260">
        <v>24.534844</v>
      </c>
      <c r="CA58" s="260">
        <v>24.572596999999998</v>
      </c>
      <c r="CB58" s="260">
        <v>24.610177</v>
      </c>
      <c r="CC58" s="260">
        <v>24.647586999999998</v>
      </c>
      <c r="CD58" s="260">
        <v>24.684823999999999</v>
      </c>
      <c r="CE58" s="260">
        <v>24.721889999999998</v>
      </c>
      <c r="CF58" s="260">
        <v>24.758783999999999</v>
      </c>
      <c r="CG58" s="260">
        <v>24.795506</v>
      </c>
      <c r="CH58" s="260">
        <v>24.832055999999998</v>
      </c>
    </row>
    <row r="59" spans="1:86" x14ac:dyDescent="0.25">
      <c r="A59" s="170">
        <v>1</v>
      </c>
      <c r="B59" s="170">
        <v>58</v>
      </c>
      <c r="C59" s="259">
        <v>20.352128982543945</v>
      </c>
      <c r="D59" s="259">
        <v>20.429874420166016</v>
      </c>
      <c r="E59" s="259">
        <v>20.5068359375</v>
      </c>
      <c r="F59" s="259">
        <v>20.583017349243164</v>
      </c>
      <c r="G59" s="259">
        <v>20.658428192138672</v>
      </c>
      <c r="H59" s="259">
        <v>20.733072280883789</v>
      </c>
      <c r="I59" s="260">
        <v>20.986881999999998</v>
      </c>
      <c r="J59" s="260">
        <v>21.039876</v>
      </c>
      <c r="K59" s="260">
        <v>21.091856</v>
      </c>
      <c r="L59" s="260">
        <v>21.142948000000001</v>
      </c>
      <c r="M59" s="260">
        <v>21.193269000000001</v>
      </c>
      <c r="N59" s="260">
        <v>21.242929999999998</v>
      </c>
      <c r="O59" s="260">
        <v>21.292033</v>
      </c>
      <c r="P59" s="260">
        <v>21.340671</v>
      </c>
      <c r="Q59" s="260">
        <v>21.388928</v>
      </c>
      <c r="R59" s="260">
        <v>21.436876999999999</v>
      </c>
      <c r="S59" s="260">
        <v>21.484580999999999</v>
      </c>
      <c r="T59" s="260">
        <v>21.532087000000001</v>
      </c>
      <c r="U59" s="260">
        <v>21.579431</v>
      </c>
      <c r="V59" s="260">
        <v>21.626635</v>
      </c>
      <c r="W59" s="260">
        <v>21.673703</v>
      </c>
      <c r="X59" s="260">
        <v>21.720635999999999</v>
      </c>
      <c r="Y59" s="260">
        <v>21.767433</v>
      </c>
      <c r="Z59" s="260">
        <v>21.814090999999998</v>
      </c>
      <c r="AA59" s="260">
        <v>21.860609999999998</v>
      </c>
      <c r="AB59" s="260">
        <v>21.906988999999999</v>
      </c>
      <c r="AC59" s="260">
        <v>21.953226999999998</v>
      </c>
      <c r="AD59" s="260">
        <v>21.999323</v>
      </c>
      <c r="AE59" s="260">
        <v>22.045275999999998</v>
      </c>
      <c r="AF59" s="260">
        <v>22.091085</v>
      </c>
      <c r="AG59" s="260">
        <v>22.136748999999998</v>
      </c>
      <c r="AH59" s="260">
        <v>22.182267</v>
      </c>
      <c r="AI59" s="260">
        <v>22.227636999999998</v>
      </c>
      <c r="AJ59" s="260">
        <v>22.272859999999998</v>
      </c>
      <c r="AK59" s="260">
        <v>22.317933999999997</v>
      </c>
      <c r="AL59" s="260">
        <v>22.362859</v>
      </c>
      <c r="AM59" s="260">
        <v>22.407632</v>
      </c>
      <c r="AN59" s="260">
        <v>22.452254999999997</v>
      </c>
      <c r="AO59" s="260">
        <v>22.496724999999998</v>
      </c>
      <c r="AP59" s="260">
        <v>22.541041999999997</v>
      </c>
      <c r="AQ59" s="260">
        <v>22.585204999999998</v>
      </c>
      <c r="AR59" s="260">
        <v>22.629213</v>
      </c>
      <c r="AS59" s="260">
        <v>22.673065999999999</v>
      </c>
      <c r="AT59" s="260">
        <v>22.716763</v>
      </c>
      <c r="AU59" s="260">
        <v>22.760303</v>
      </c>
      <c r="AV59" s="260">
        <v>22.803684999999998</v>
      </c>
      <c r="AW59" s="260">
        <v>22.846909</v>
      </c>
      <c r="AX59" s="260">
        <v>22.889973999999999</v>
      </c>
      <c r="AY59" s="260">
        <v>22.932879</v>
      </c>
      <c r="AZ59" s="260">
        <v>22.975624</v>
      </c>
      <c r="BA59" s="260">
        <v>23.018207999999998</v>
      </c>
      <c r="BB59" s="260">
        <v>23.06063</v>
      </c>
      <c r="BC59" s="260">
        <v>23.102889999999999</v>
      </c>
      <c r="BD59" s="260">
        <v>23.144987999999998</v>
      </c>
      <c r="BE59" s="260">
        <v>23.186921999999999</v>
      </c>
      <c r="BF59" s="260">
        <v>23.228691999999999</v>
      </c>
      <c r="BG59" s="260">
        <v>23.270298</v>
      </c>
      <c r="BH59" s="260">
        <v>23.311738999999999</v>
      </c>
      <c r="BI59" s="260">
        <v>23.353013999999998</v>
      </c>
      <c r="BJ59" s="260">
        <v>23.394123999999998</v>
      </c>
      <c r="BK59" s="260">
        <v>23.435067</v>
      </c>
      <c r="BL59" s="260">
        <v>23.475843999999999</v>
      </c>
      <c r="BM59" s="260">
        <v>23.516452999999998</v>
      </c>
      <c r="BN59" s="260">
        <v>23.556894999999997</v>
      </c>
      <c r="BO59" s="260">
        <v>23.597168999999997</v>
      </c>
      <c r="BP59" s="260">
        <v>23.637274999999999</v>
      </c>
      <c r="BQ59" s="260">
        <v>23.677211999999997</v>
      </c>
      <c r="BR59" s="260">
        <v>23.71698</v>
      </c>
      <c r="BS59" s="260">
        <v>23.756578999999999</v>
      </c>
      <c r="BT59" s="260">
        <v>23.796008</v>
      </c>
      <c r="BU59" s="260">
        <v>23.835266999999998</v>
      </c>
      <c r="BV59" s="260">
        <v>23.874355999999999</v>
      </c>
      <c r="BW59" s="260">
        <v>23.913273999999998</v>
      </c>
      <c r="BX59" s="260">
        <v>23.952021999999999</v>
      </c>
      <c r="BY59" s="260">
        <v>23.990597999999999</v>
      </c>
      <c r="BZ59" s="260">
        <v>24.029004</v>
      </c>
      <c r="CA59" s="260">
        <v>24.067238999999997</v>
      </c>
      <c r="CB59" s="260">
        <v>24.105300999999997</v>
      </c>
      <c r="CC59" s="260">
        <v>24.143193</v>
      </c>
      <c r="CD59" s="260">
        <v>24.180911999999999</v>
      </c>
      <c r="CE59" s="260">
        <v>24.21846</v>
      </c>
      <c r="CF59" s="260">
        <v>24.255834999999998</v>
      </c>
      <c r="CG59" s="260">
        <v>24.293039</v>
      </c>
      <c r="CH59" s="260">
        <v>24.330069999999999</v>
      </c>
    </row>
    <row r="60" spans="1:86" x14ac:dyDescent="0.25">
      <c r="A60" s="170">
        <v>1</v>
      </c>
      <c r="B60" s="170">
        <v>59</v>
      </c>
      <c r="C60" s="259">
        <v>19.780128479003906</v>
      </c>
      <c r="D60" s="259">
        <v>19.857437133789063</v>
      </c>
      <c r="E60" s="259">
        <v>19.93400764465332</v>
      </c>
      <c r="F60" s="259">
        <v>20.009838104248047</v>
      </c>
      <c r="G60" s="259">
        <v>20.084938049316406</v>
      </c>
      <c r="H60" s="259">
        <v>20.159311294555664</v>
      </c>
      <c r="I60" s="260">
        <v>20.44445</v>
      </c>
      <c r="J60" s="260">
        <v>20.498037</v>
      </c>
      <c r="K60" s="260">
        <v>20.550557999999999</v>
      </c>
      <c r="L60" s="260">
        <v>20.602149000000001</v>
      </c>
      <c r="M60" s="260">
        <v>20.652933999999998</v>
      </c>
      <c r="N60" s="260">
        <v>20.703032</v>
      </c>
      <c r="O60" s="260">
        <v>20.752551</v>
      </c>
      <c r="P60" s="260">
        <v>20.801587999999999</v>
      </c>
      <c r="Q60" s="260">
        <v>20.850232999999999</v>
      </c>
      <c r="R60" s="260">
        <v>20.898560999999997</v>
      </c>
      <c r="S60" s="260">
        <v>20.946638</v>
      </c>
      <c r="T60" s="260">
        <v>20.994515999999997</v>
      </c>
      <c r="U60" s="260">
        <v>21.042233</v>
      </c>
      <c r="V60" s="260">
        <v>21.089810999999997</v>
      </c>
      <c r="W60" s="260">
        <v>21.137256999999998</v>
      </c>
      <c r="X60" s="260">
        <v>21.184570999999998</v>
      </c>
      <c r="Y60" s="260">
        <v>21.231750999999999</v>
      </c>
      <c r="Z60" s="260">
        <v>21.278796</v>
      </c>
      <c r="AA60" s="260">
        <v>21.325703999999998</v>
      </c>
      <c r="AB60" s="260">
        <v>21.372474999999998</v>
      </c>
      <c r="AC60" s="260">
        <v>21.419107999999998</v>
      </c>
      <c r="AD60" s="260">
        <v>21.465600999999999</v>
      </c>
      <c r="AE60" s="260">
        <v>21.511953999999999</v>
      </c>
      <c r="AF60" s="260">
        <v>21.558164999999999</v>
      </c>
      <c r="AG60" s="260">
        <v>21.604233000000001</v>
      </c>
      <c r="AH60" s="260">
        <v>21.650157999999998</v>
      </c>
      <c r="AI60" s="260">
        <v>21.695937999999998</v>
      </c>
      <c r="AJ60" s="260">
        <v>21.741572999999999</v>
      </c>
      <c r="AK60" s="260">
        <v>21.78706</v>
      </c>
      <c r="AL60" s="260">
        <v>21.832400999999997</v>
      </c>
      <c r="AM60" s="260">
        <v>21.877592999999997</v>
      </c>
      <c r="AN60" s="260">
        <v>21.922635</v>
      </c>
      <c r="AO60" s="260">
        <v>21.967527</v>
      </c>
      <c r="AP60" s="260">
        <v>22.012267999999999</v>
      </c>
      <c r="AQ60" s="260">
        <v>22.056856999999997</v>
      </c>
      <c r="AR60" s="260">
        <v>22.101293999999999</v>
      </c>
      <c r="AS60" s="260">
        <v>22.145575999999998</v>
      </c>
      <c r="AT60" s="260">
        <v>22.189703999999999</v>
      </c>
      <c r="AU60" s="260">
        <v>22.233677</v>
      </c>
      <c r="AV60" s="260">
        <v>22.277493999999997</v>
      </c>
      <c r="AW60" s="260">
        <v>22.321154</v>
      </c>
      <c r="AX60" s="260">
        <v>22.364656999999998</v>
      </c>
      <c r="AY60" s="260">
        <v>22.408000999999999</v>
      </c>
      <c r="AZ60" s="260">
        <v>22.451186999999997</v>
      </c>
      <c r="BA60" s="260">
        <v>22.494212999999998</v>
      </c>
      <c r="BB60" s="260">
        <v>22.537078999999999</v>
      </c>
      <c r="BC60" s="260">
        <v>22.579782999999999</v>
      </c>
      <c r="BD60" s="260">
        <v>22.622326999999999</v>
      </c>
      <c r="BE60" s="260">
        <v>22.664707999999997</v>
      </c>
      <c r="BF60" s="260">
        <v>22.706925999999999</v>
      </c>
      <c r="BG60" s="260">
        <v>22.748981999999998</v>
      </c>
      <c r="BH60" s="260">
        <v>22.790872999999998</v>
      </c>
      <c r="BI60" s="260">
        <v>22.832599999999999</v>
      </c>
      <c r="BJ60" s="260">
        <v>22.874161999999998</v>
      </c>
      <c r="BK60" s="260">
        <v>22.915558999999998</v>
      </c>
      <c r="BL60" s="260">
        <v>22.956789999999998</v>
      </c>
      <c r="BM60" s="260">
        <v>22.997854</v>
      </c>
      <c r="BN60" s="260">
        <v>23.038751999999999</v>
      </c>
      <c r="BO60" s="260">
        <v>23.079481999999999</v>
      </c>
      <c r="BP60" s="260">
        <v>23.120044999999998</v>
      </c>
      <c r="BQ60" s="260">
        <v>23.160439999999998</v>
      </c>
      <c r="BR60" s="260">
        <v>23.200666999999999</v>
      </c>
      <c r="BS60" s="260">
        <v>23.240724</v>
      </c>
      <c r="BT60" s="260">
        <v>23.280612999999999</v>
      </c>
      <c r="BU60" s="260">
        <v>23.320332000000001</v>
      </c>
      <c r="BV60" s="260">
        <v>23.359881999999999</v>
      </c>
      <c r="BW60" s="260">
        <v>23.399260999999999</v>
      </c>
      <c r="BX60" s="260">
        <v>23.438469999999999</v>
      </c>
      <c r="BY60" s="260">
        <v>23.477508</v>
      </c>
      <c r="BZ60" s="260">
        <v>23.516375999999998</v>
      </c>
      <c r="CA60" s="260">
        <v>23.555073</v>
      </c>
      <c r="CB60" s="260">
        <v>23.593598</v>
      </c>
      <c r="CC60" s="260">
        <v>23.631951999999998</v>
      </c>
      <c r="CD60" s="260">
        <v>23.670133999999997</v>
      </c>
      <c r="CE60" s="260">
        <v>23.708143999999997</v>
      </c>
      <c r="CF60" s="260">
        <v>23.745982999999999</v>
      </c>
      <c r="CG60" s="260">
        <v>23.783649</v>
      </c>
      <c r="CH60" s="260">
        <v>23.821142999999999</v>
      </c>
    </row>
    <row r="61" spans="1:86" x14ac:dyDescent="0.25">
      <c r="A61" s="170">
        <v>1</v>
      </c>
      <c r="B61" s="170">
        <v>60</v>
      </c>
      <c r="C61" s="259">
        <v>19.20509147644043</v>
      </c>
      <c r="D61" s="259">
        <v>19.28172492980957</v>
      </c>
      <c r="E61" s="259">
        <v>19.357666015625</v>
      </c>
      <c r="F61" s="259">
        <v>19.432916641235352</v>
      </c>
      <c r="G61" s="259">
        <v>19.507482528686523</v>
      </c>
      <c r="H61" s="259">
        <v>19.581365585327148</v>
      </c>
      <c r="I61" s="260">
        <v>19.896861999999999</v>
      </c>
      <c r="J61" s="260">
        <v>19.951001999999999</v>
      </c>
      <c r="K61" s="260">
        <v>20.004023999999998</v>
      </c>
      <c r="L61" s="260">
        <v>20.056070999999999</v>
      </c>
      <c r="M61" s="260">
        <v>20.107277999999997</v>
      </c>
      <c r="N61" s="260">
        <v>20.157771</v>
      </c>
      <c r="O61" s="260">
        <v>20.207663999999998</v>
      </c>
      <c r="P61" s="260">
        <v>20.257061</v>
      </c>
      <c r="Q61" s="260">
        <v>20.306055000000001</v>
      </c>
      <c r="R61" s="260">
        <v>20.354727</v>
      </c>
      <c r="S61" s="260">
        <v>20.403143999999998</v>
      </c>
      <c r="T61" s="260">
        <v>20.451360999999999</v>
      </c>
      <c r="U61" s="260">
        <v>20.499417999999999</v>
      </c>
      <c r="V61" s="260">
        <v>20.547338999999997</v>
      </c>
      <c r="W61" s="260">
        <v>20.595132</v>
      </c>
      <c r="X61" s="260">
        <v>20.642796000000001</v>
      </c>
      <c r="Y61" s="260">
        <v>20.690327999999997</v>
      </c>
      <c r="Z61" s="260">
        <v>20.737728999999998</v>
      </c>
      <c r="AA61" s="260">
        <v>20.784996</v>
      </c>
      <c r="AB61" s="260">
        <v>20.832128999999998</v>
      </c>
      <c r="AC61" s="260">
        <v>20.879127</v>
      </c>
      <c r="AD61" s="260">
        <v>20.925986999999999</v>
      </c>
      <c r="AE61" s="260">
        <v>20.972709999999999</v>
      </c>
      <c r="AF61" s="260">
        <v>21.019295</v>
      </c>
      <c r="AG61" s="260">
        <v>21.065739000000001</v>
      </c>
      <c r="AH61" s="260">
        <v>21.112041999999999</v>
      </c>
      <c r="AI61" s="260">
        <v>21.158203</v>
      </c>
      <c r="AJ61" s="260">
        <v>21.204221</v>
      </c>
      <c r="AK61" s="260">
        <v>21.250094999999998</v>
      </c>
      <c r="AL61" s="260">
        <v>21.295822999999999</v>
      </c>
      <c r="AM61" s="260">
        <v>21.341405999999999</v>
      </c>
      <c r="AN61" s="260">
        <v>21.386841</v>
      </c>
      <c r="AO61" s="260">
        <v>21.432129</v>
      </c>
      <c r="AP61" s="260">
        <v>21.477266999999998</v>
      </c>
      <c r="AQ61" s="260">
        <v>21.522255999999999</v>
      </c>
      <c r="AR61" s="260">
        <v>21.567093</v>
      </c>
      <c r="AS61" s="260">
        <v>21.61178</v>
      </c>
      <c r="AT61" s="260">
        <v>21.656312999999997</v>
      </c>
      <c r="AU61" s="260">
        <v>21.700693999999999</v>
      </c>
      <c r="AV61" s="260">
        <v>21.74492</v>
      </c>
      <c r="AW61" s="260">
        <v>21.788990999999999</v>
      </c>
      <c r="AX61" s="260">
        <v>21.832906999999999</v>
      </c>
      <c r="AY61" s="260">
        <v>21.876666</v>
      </c>
      <c r="AZ61" s="260">
        <v>21.920268</v>
      </c>
      <c r="BA61" s="260">
        <v>21.963711999999997</v>
      </c>
      <c r="BB61" s="260">
        <v>22.006996999999998</v>
      </c>
      <c r="BC61" s="260">
        <v>22.050122999999999</v>
      </c>
      <c r="BD61" s="260">
        <v>22.093087999999998</v>
      </c>
      <c r="BE61" s="260">
        <v>22.135892999999999</v>
      </c>
      <c r="BF61" s="260">
        <v>22.178536999999999</v>
      </c>
      <c r="BG61" s="260">
        <v>22.221018999999998</v>
      </c>
      <c r="BH61" s="260">
        <v>22.263337999999997</v>
      </c>
      <c r="BI61" s="260">
        <v>22.305493999999999</v>
      </c>
      <c r="BJ61" s="260">
        <v>22.347486999999997</v>
      </c>
      <c r="BK61" s="260">
        <v>22.389315</v>
      </c>
      <c r="BL61" s="260">
        <v>22.430978</v>
      </c>
      <c r="BM61" s="260">
        <v>22.472476</v>
      </c>
      <c r="BN61" s="260">
        <v>22.513807999999997</v>
      </c>
      <c r="BO61" s="260">
        <v>22.554973999999998</v>
      </c>
      <c r="BP61" s="260">
        <v>22.595973000000001</v>
      </c>
      <c r="BQ61" s="260">
        <v>22.636804999999999</v>
      </c>
      <c r="BR61" s="260">
        <v>22.67747</v>
      </c>
      <c r="BS61" s="260">
        <v>22.717966000000001</v>
      </c>
      <c r="BT61" s="260">
        <v>22.758295</v>
      </c>
      <c r="BU61" s="260">
        <v>22.798454</v>
      </c>
      <c r="BV61" s="260">
        <v>22.838443999999999</v>
      </c>
      <c r="BW61" s="260">
        <v>22.878264999999999</v>
      </c>
      <c r="BX61" s="260">
        <v>22.917915999999998</v>
      </c>
      <c r="BY61" s="260">
        <v>22.957397</v>
      </c>
      <c r="BZ61" s="260">
        <v>22.996707999999998</v>
      </c>
      <c r="CA61" s="260">
        <v>23.035847999999998</v>
      </c>
      <c r="CB61" s="260">
        <v>23.074816999999999</v>
      </c>
      <c r="CC61" s="260">
        <v>23.113614999999999</v>
      </c>
      <c r="CD61" s="260">
        <v>23.152241999999998</v>
      </c>
      <c r="CE61" s="260">
        <v>23.190697</v>
      </c>
      <c r="CF61" s="260">
        <v>23.228980999999997</v>
      </c>
      <c r="CG61" s="260">
        <v>23.267092999999999</v>
      </c>
      <c r="CH61" s="260">
        <v>23.305032000000001</v>
      </c>
    </row>
    <row r="62" spans="1:86" x14ac:dyDescent="0.25">
      <c r="A62" s="170">
        <v>1</v>
      </c>
      <c r="B62" s="170">
        <v>61</v>
      </c>
      <c r="C62" s="259">
        <v>18.631612777709961</v>
      </c>
      <c r="D62" s="259">
        <v>18.707912445068359</v>
      </c>
      <c r="E62" s="259">
        <v>18.783546447753906</v>
      </c>
      <c r="F62" s="259">
        <v>18.858516693115234</v>
      </c>
      <c r="G62" s="259">
        <v>18.932826995849609</v>
      </c>
      <c r="H62" s="259">
        <v>19.006479263305664</v>
      </c>
      <c r="I62" s="260">
        <v>19.343468999999999</v>
      </c>
      <c r="J62" s="260">
        <v>19.398139</v>
      </c>
      <c r="K62" s="260">
        <v>19.451636000000001</v>
      </c>
      <c r="L62" s="260">
        <v>19.504111999999999</v>
      </c>
      <c r="M62" s="260">
        <v>19.555709999999998</v>
      </c>
      <c r="N62" s="260">
        <v>19.606563999999999</v>
      </c>
      <c r="O62" s="260">
        <v>19.656797999999998</v>
      </c>
      <c r="P62" s="260">
        <v>19.706522</v>
      </c>
      <c r="Q62" s="260">
        <v>19.755834</v>
      </c>
      <c r="R62" s="260">
        <v>19.804817999999997</v>
      </c>
      <c r="S62" s="260">
        <v>19.853545</v>
      </c>
      <c r="T62" s="260">
        <v>19.902072999999998</v>
      </c>
      <c r="U62" s="260">
        <v>19.950441999999999</v>
      </c>
      <c r="V62" s="260">
        <v>19.998678999999999</v>
      </c>
      <c r="W62" s="260">
        <v>20.046790999999999</v>
      </c>
      <c r="X62" s="260">
        <v>20.094777000000001</v>
      </c>
      <c r="Y62" s="260">
        <v>20.142634999999999</v>
      </c>
      <c r="Z62" s="260">
        <v>20.190363999999999</v>
      </c>
      <c r="AA62" s="260">
        <v>20.237963999999998</v>
      </c>
      <c r="AB62" s="260">
        <v>20.285432</v>
      </c>
      <c r="AC62" s="260">
        <v>20.332767999999998</v>
      </c>
      <c r="AD62" s="260">
        <v>20.37997</v>
      </c>
      <c r="AE62" s="260">
        <v>20.427036999999999</v>
      </c>
      <c r="AF62" s="260">
        <v>20.473969</v>
      </c>
      <c r="AG62" s="260">
        <v>20.520762999999999</v>
      </c>
      <c r="AH62" s="260">
        <v>20.567419999999998</v>
      </c>
      <c r="AI62" s="260">
        <v>20.613937</v>
      </c>
      <c r="AJ62" s="260">
        <v>20.660312999999999</v>
      </c>
      <c r="AK62" s="260">
        <v>20.706547999999998</v>
      </c>
      <c r="AL62" s="260">
        <v>20.752641000000001</v>
      </c>
      <c r="AM62" s="260">
        <v>20.798590000000001</v>
      </c>
      <c r="AN62" s="260">
        <v>20.844393999999998</v>
      </c>
      <c r="AO62" s="260">
        <v>20.890052999999998</v>
      </c>
      <c r="AP62" s="260">
        <v>20.935565</v>
      </c>
      <c r="AQ62" s="260">
        <v>20.980930000000001</v>
      </c>
      <c r="AR62" s="260">
        <v>21.026146000000001</v>
      </c>
      <c r="AS62" s="260">
        <v>21.071213</v>
      </c>
      <c r="AT62" s="260">
        <v>21.116129000000001</v>
      </c>
      <c r="AU62" s="260">
        <v>21.160895</v>
      </c>
      <c r="AV62" s="260">
        <v>21.205507999999998</v>
      </c>
      <c r="AW62" s="260">
        <v>21.249967999999999</v>
      </c>
      <c r="AX62" s="260">
        <v>21.294274999999999</v>
      </c>
      <c r="AY62" s="260">
        <v>21.338426999999999</v>
      </c>
      <c r="AZ62" s="260">
        <v>21.382422999999999</v>
      </c>
      <c r="BA62" s="260">
        <v>21.426264</v>
      </c>
      <c r="BB62" s="260">
        <v>21.469946999999998</v>
      </c>
      <c r="BC62" s="260">
        <v>21.513472999999998</v>
      </c>
      <c r="BD62" s="260">
        <v>21.556839999999998</v>
      </c>
      <c r="BE62" s="260">
        <v>21.600048999999999</v>
      </c>
      <c r="BF62" s="260">
        <v>21.643096999999997</v>
      </c>
      <c r="BG62" s="260">
        <v>21.685984999999999</v>
      </c>
      <c r="BH62" s="260">
        <v>21.728711999999998</v>
      </c>
      <c r="BI62" s="260">
        <v>21.771277999999999</v>
      </c>
      <c r="BJ62" s="260">
        <v>21.813680999999999</v>
      </c>
      <c r="BK62" s="260">
        <v>21.855919999999998</v>
      </c>
      <c r="BL62" s="260">
        <v>21.897997</v>
      </c>
      <c r="BM62" s="260">
        <v>21.939909</v>
      </c>
      <c r="BN62" s="260">
        <v>21.981656999999998</v>
      </c>
      <c r="BO62" s="260">
        <v>22.023239999999998</v>
      </c>
      <c r="BP62" s="260">
        <v>22.064657</v>
      </c>
      <c r="BQ62" s="260">
        <v>22.105907999999999</v>
      </c>
      <c r="BR62" s="260">
        <v>22.146991999999997</v>
      </c>
      <c r="BS62" s="260">
        <v>22.187908999999998</v>
      </c>
      <c r="BT62" s="260">
        <v>22.228659</v>
      </c>
      <c r="BU62" s="260">
        <v>22.269240999999997</v>
      </c>
      <c r="BV62" s="260">
        <v>22.309654999999999</v>
      </c>
      <c r="BW62" s="260">
        <v>22.349899999999998</v>
      </c>
      <c r="BX62" s="260">
        <v>22.389975999999997</v>
      </c>
      <c r="BY62" s="260">
        <v>22.429883</v>
      </c>
      <c r="BZ62" s="260">
        <v>22.469619999999999</v>
      </c>
      <c r="CA62" s="260">
        <v>22.509187000000001</v>
      </c>
      <c r="CB62" s="260">
        <v>22.548583000000001</v>
      </c>
      <c r="CC62" s="260">
        <v>22.587809</v>
      </c>
      <c r="CD62" s="260">
        <v>22.626864999999999</v>
      </c>
      <c r="CE62" s="260">
        <v>22.665748999999998</v>
      </c>
      <c r="CF62" s="260">
        <v>22.704461999999999</v>
      </c>
      <c r="CG62" s="260">
        <v>22.743003999999999</v>
      </c>
      <c r="CH62" s="260">
        <v>22.781374</v>
      </c>
    </row>
    <row r="63" spans="1:86" x14ac:dyDescent="0.25">
      <c r="A63" s="170">
        <v>1</v>
      </c>
      <c r="B63" s="170">
        <v>62</v>
      </c>
      <c r="C63" s="259">
        <v>18.055160522460938</v>
      </c>
      <c r="D63" s="259">
        <v>18.130949020385742</v>
      </c>
      <c r="E63" s="259">
        <v>18.206100463867188</v>
      </c>
      <c r="F63" s="259">
        <v>18.280618667602539</v>
      </c>
      <c r="G63" s="259">
        <v>18.354501724243164</v>
      </c>
      <c r="H63" s="259">
        <v>18.427757263183594</v>
      </c>
      <c r="I63" s="260">
        <v>18.783476</v>
      </c>
      <c r="J63" s="260">
        <v>18.838676</v>
      </c>
      <c r="K63" s="260">
        <v>18.892643</v>
      </c>
      <c r="L63" s="260">
        <v>18.945537999999999</v>
      </c>
      <c r="M63" s="260">
        <v>18.997512</v>
      </c>
      <c r="N63" s="260">
        <v>19.04871</v>
      </c>
      <c r="O63" s="260">
        <v>19.099263999999998</v>
      </c>
      <c r="P63" s="260">
        <v>19.149290999999998</v>
      </c>
      <c r="Q63" s="260">
        <v>19.198895</v>
      </c>
      <c r="R63" s="260">
        <v>19.248166999999999</v>
      </c>
      <c r="S63" s="260">
        <v>19.297180000000001</v>
      </c>
      <c r="T63" s="260">
        <v>19.345993999999997</v>
      </c>
      <c r="U63" s="260">
        <v>19.394652000000001</v>
      </c>
      <c r="V63" s="260">
        <v>19.443180999999999</v>
      </c>
      <c r="W63" s="260">
        <v>19.491588999999998</v>
      </c>
      <c r="X63" s="260">
        <v>19.539873999999998</v>
      </c>
      <c r="Y63" s="260">
        <v>19.588034999999998</v>
      </c>
      <c r="Z63" s="260">
        <v>19.636070999999998</v>
      </c>
      <c r="AA63" s="260">
        <v>19.683979999999998</v>
      </c>
      <c r="AB63" s="260">
        <v>19.731760999999999</v>
      </c>
      <c r="AC63" s="260">
        <v>19.779412999999998</v>
      </c>
      <c r="AD63" s="260">
        <v>19.826934999999999</v>
      </c>
      <c r="AE63" s="260">
        <v>19.874326</v>
      </c>
      <c r="AF63" s="260">
        <v>19.921582999999998</v>
      </c>
      <c r="AG63" s="260">
        <v>19.968705999999997</v>
      </c>
      <c r="AH63" s="260">
        <v>20.015694999999997</v>
      </c>
      <c r="AI63" s="260">
        <v>20.062546999999999</v>
      </c>
      <c r="AJ63" s="260">
        <v>20.109261</v>
      </c>
      <c r="AK63" s="260">
        <v>20.155836999999998</v>
      </c>
      <c r="AL63" s="260">
        <v>20.202272999999998</v>
      </c>
      <c r="AM63" s="260">
        <v>20.248567999999999</v>
      </c>
      <c r="AN63" s="260">
        <v>20.294720999999999</v>
      </c>
      <c r="AO63" s="260">
        <v>20.340730999999998</v>
      </c>
      <c r="AP63" s="260">
        <v>20.386597999999999</v>
      </c>
      <c r="AQ63" s="260">
        <v>20.432319</v>
      </c>
      <c r="AR63" s="260">
        <v>20.477893999999999</v>
      </c>
      <c r="AS63" s="260">
        <v>20.523322</v>
      </c>
      <c r="AT63" s="260">
        <v>20.568601999999998</v>
      </c>
      <c r="AU63" s="260">
        <v>20.613733999999997</v>
      </c>
      <c r="AV63" s="260">
        <v>20.658715000000001</v>
      </c>
      <c r="AW63" s="260">
        <v>20.703545999999999</v>
      </c>
      <c r="AX63" s="260">
        <v>20.748224999999998</v>
      </c>
      <c r="AY63" s="260">
        <v>20.792752</v>
      </c>
      <c r="AZ63" s="260">
        <v>20.837125</v>
      </c>
      <c r="BA63" s="260">
        <v>20.881343999999999</v>
      </c>
      <c r="BB63" s="260">
        <v>20.925407999999997</v>
      </c>
      <c r="BC63" s="260">
        <v>20.969315999999999</v>
      </c>
      <c r="BD63" s="260">
        <v>21.013068000000001</v>
      </c>
      <c r="BE63" s="260">
        <v>21.056661999999999</v>
      </c>
      <c r="BF63" s="260">
        <v>21.100097999999999</v>
      </c>
      <c r="BG63" s="260">
        <v>21.143376</v>
      </c>
      <c r="BH63" s="260">
        <v>21.186494</v>
      </c>
      <c r="BI63" s="260">
        <v>21.229450999999997</v>
      </c>
      <c r="BJ63" s="260">
        <v>21.272247999999998</v>
      </c>
      <c r="BK63" s="260">
        <v>21.314883999999999</v>
      </c>
      <c r="BL63" s="260">
        <v>21.357357</v>
      </c>
      <c r="BM63" s="260">
        <v>21.399667999999998</v>
      </c>
      <c r="BN63" s="260">
        <v>21.441815999999999</v>
      </c>
      <c r="BO63" s="260">
        <v>21.483798999999998</v>
      </c>
      <c r="BP63" s="260">
        <v>21.525618999999999</v>
      </c>
      <c r="BQ63" s="260">
        <v>21.567273</v>
      </c>
      <c r="BR63" s="260">
        <v>21.608761999999999</v>
      </c>
      <c r="BS63" s="260">
        <v>21.650085000000001</v>
      </c>
      <c r="BT63" s="260">
        <v>21.691241999999999</v>
      </c>
      <c r="BU63" s="260">
        <v>21.732230999999999</v>
      </c>
      <c r="BV63" s="260">
        <v>21.773053999999998</v>
      </c>
      <c r="BW63" s="260">
        <v>21.813707999999998</v>
      </c>
      <c r="BX63" s="260">
        <v>21.854195000000001</v>
      </c>
      <c r="BY63" s="260">
        <v>21.894513</v>
      </c>
      <c r="BZ63" s="260">
        <v>21.934661999999999</v>
      </c>
      <c r="CA63" s="260">
        <v>21.974643</v>
      </c>
      <c r="CB63" s="260">
        <v>22.014453</v>
      </c>
      <c r="CC63" s="260">
        <v>22.054093999999999</v>
      </c>
      <c r="CD63" s="260">
        <v>22.093564000000001</v>
      </c>
      <c r="CE63" s="260">
        <v>22.132863999999998</v>
      </c>
      <c r="CF63" s="260">
        <v>22.171993000000001</v>
      </c>
      <c r="CG63" s="260">
        <v>22.210951999999999</v>
      </c>
      <c r="CH63" s="260">
        <v>22.249738999999998</v>
      </c>
    </row>
    <row r="64" spans="1:86" x14ac:dyDescent="0.25">
      <c r="A64" s="170">
        <v>1</v>
      </c>
      <c r="B64" s="170">
        <v>63</v>
      </c>
      <c r="C64" s="259">
        <v>17.475383758544922</v>
      </c>
      <c r="D64" s="259">
        <v>17.550483703613281</v>
      </c>
      <c r="E64" s="259">
        <v>17.624980926513672</v>
      </c>
      <c r="F64" s="259">
        <v>17.698873519897461</v>
      </c>
      <c r="G64" s="259">
        <v>17.772167205810547</v>
      </c>
      <c r="H64" s="259">
        <v>17.84486198425293</v>
      </c>
      <c r="I64" s="260">
        <v>18.216214000000001</v>
      </c>
      <c r="J64" s="260">
        <v>18.271964000000001</v>
      </c>
      <c r="K64" s="260">
        <v>18.326415999999998</v>
      </c>
      <c r="L64" s="260">
        <v>18.379736999999999</v>
      </c>
      <c r="M64" s="260">
        <v>18.432091</v>
      </c>
      <c r="N64" s="260">
        <v>18.483629000000001</v>
      </c>
      <c r="O64" s="260">
        <v>18.534492</v>
      </c>
      <c r="P64" s="260">
        <v>18.584807999999999</v>
      </c>
      <c r="Q64" s="260">
        <v>18.634688000000001</v>
      </c>
      <c r="R64" s="260">
        <v>18.684227999999997</v>
      </c>
      <c r="S64" s="260">
        <v>18.733508</v>
      </c>
      <c r="T64" s="260">
        <v>18.782588000000001</v>
      </c>
      <c r="U64" s="260">
        <v>18.831516000000001</v>
      </c>
      <c r="V64" s="260">
        <v>18.880317999999999</v>
      </c>
      <c r="W64" s="260">
        <v>18.929002000000001</v>
      </c>
      <c r="X64" s="260">
        <v>18.977567000000001</v>
      </c>
      <c r="Y64" s="260">
        <v>19.026011999999998</v>
      </c>
      <c r="Z64" s="260">
        <v>19.074334999999998</v>
      </c>
      <c r="AA64" s="260">
        <v>19.122534999999999</v>
      </c>
      <c r="AB64" s="260">
        <v>19.170610999999997</v>
      </c>
      <c r="AC64" s="260">
        <v>19.218560999999998</v>
      </c>
      <c r="AD64" s="260">
        <v>19.266383999999999</v>
      </c>
      <c r="AE64" s="260">
        <v>19.314079</v>
      </c>
      <c r="AF64" s="260">
        <v>19.361644999999999</v>
      </c>
      <c r="AG64" s="260">
        <v>19.409078999999998</v>
      </c>
      <c r="AH64" s="260">
        <v>19.456381</v>
      </c>
      <c r="AI64" s="260">
        <v>19.503550999999998</v>
      </c>
      <c r="AJ64" s="260">
        <v>19.550584999999998</v>
      </c>
      <c r="AK64" s="260">
        <v>19.597483999999998</v>
      </c>
      <c r="AL64" s="260">
        <v>19.644245999999999</v>
      </c>
      <c r="AM64" s="260">
        <v>19.69087</v>
      </c>
      <c r="AN64" s="260">
        <v>19.737355999999998</v>
      </c>
      <c r="AO64" s="260">
        <v>19.7837</v>
      </c>
      <c r="AP64" s="260">
        <v>19.829903999999999</v>
      </c>
      <c r="AQ64" s="260">
        <v>19.875965000000001</v>
      </c>
      <c r="AR64" s="260">
        <v>19.921882999999998</v>
      </c>
      <c r="AS64" s="260">
        <v>19.967655999999998</v>
      </c>
      <c r="AT64" s="260">
        <v>20.013283999999999</v>
      </c>
      <c r="AU64" s="260">
        <v>20.058764999999998</v>
      </c>
      <c r="AV64" s="260">
        <v>20.104098999999998</v>
      </c>
      <c r="AW64" s="260">
        <v>20.149283999999998</v>
      </c>
      <c r="AX64" s="260">
        <v>20.194319999999998</v>
      </c>
      <c r="AY64" s="260">
        <v>20.239204999999998</v>
      </c>
      <c r="AZ64" s="260">
        <v>20.283939999999998</v>
      </c>
      <c r="BA64" s="260">
        <v>20.328522</v>
      </c>
      <c r="BB64" s="260">
        <v>20.372951999999998</v>
      </c>
      <c r="BC64" s="260">
        <v>20.417227</v>
      </c>
      <c r="BD64" s="260">
        <v>20.461347999999997</v>
      </c>
      <c r="BE64" s="260">
        <v>20.505313999999998</v>
      </c>
      <c r="BF64" s="260">
        <v>20.549122999999998</v>
      </c>
      <c r="BG64" s="260">
        <v>20.592775</v>
      </c>
      <c r="BH64" s="260">
        <v>20.63627</v>
      </c>
      <c r="BI64" s="260">
        <v>20.679606</v>
      </c>
      <c r="BJ64" s="260">
        <v>20.722783</v>
      </c>
      <c r="BK64" s="260">
        <v>20.765801</v>
      </c>
      <c r="BL64" s="260">
        <v>20.808657</v>
      </c>
      <c r="BM64" s="260">
        <v>20.851353</v>
      </c>
      <c r="BN64" s="260">
        <v>20.893885999999998</v>
      </c>
      <c r="BO64" s="260">
        <v>20.936257999999999</v>
      </c>
      <c r="BP64" s="260">
        <v>20.978465999999997</v>
      </c>
      <c r="BQ64" s="260">
        <v>21.020510999999999</v>
      </c>
      <c r="BR64" s="260">
        <v>21.062390999999998</v>
      </c>
      <c r="BS64" s="260">
        <v>21.104106999999999</v>
      </c>
      <c r="BT64" s="260">
        <v>21.145657</v>
      </c>
      <c r="BU64" s="260">
        <v>21.187041999999998</v>
      </c>
      <c r="BV64" s="260">
        <v>21.228261</v>
      </c>
      <c r="BW64" s="260">
        <v>21.269313</v>
      </c>
      <c r="BX64" s="260">
        <v>21.310198</v>
      </c>
      <c r="BY64" s="260">
        <v>21.350915999999998</v>
      </c>
      <c r="BZ64" s="260">
        <v>21.391465</v>
      </c>
      <c r="CA64" s="260">
        <v>21.431846</v>
      </c>
      <c r="CB64" s="260">
        <v>21.472058999999998</v>
      </c>
      <c r="CC64" s="260">
        <v>21.512101999999999</v>
      </c>
      <c r="CD64" s="260">
        <v>21.551976</v>
      </c>
      <c r="CE64" s="260">
        <v>21.59168</v>
      </c>
      <c r="CF64" s="260">
        <v>21.631214999999997</v>
      </c>
      <c r="CG64" s="260">
        <v>21.670579</v>
      </c>
      <c r="CH64" s="260">
        <v>21.709771999999997</v>
      </c>
    </row>
    <row r="65" spans="1:86" x14ac:dyDescent="0.25">
      <c r="A65" s="170">
        <v>1</v>
      </c>
      <c r="B65" s="170">
        <v>64</v>
      </c>
      <c r="C65" s="259">
        <v>16.892068862915039</v>
      </c>
      <c r="D65" s="259">
        <v>16.966306686401367</v>
      </c>
      <c r="E65" s="259">
        <v>17.039974212646484</v>
      </c>
      <c r="F65" s="259">
        <v>17.113075256347656</v>
      </c>
      <c r="G65" s="259">
        <v>17.185611724853516</v>
      </c>
      <c r="H65" s="259">
        <v>17.257583618164063</v>
      </c>
      <c r="I65" s="260">
        <v>17.641584999999999</v>
      </c>
      <c r="J65" s="260">
        <v>17.697914000000001</v>
      </c>
      <c r="K65" s="260">
        <v>17.752873999999998</v>
      </c>
      <c r="L65" s="260">
        <v>17.806640999999999</v>
      </c>
      <c r="M65" s="260">
        <v>17.859385</v>
      </c>
      <c r="N65" s="260">
        <v>17.911266999999999</v>
      </c>
      <c r="O65" s="260">
        <v>17.962439</v>
      </c>
      <c r="P65" s="260">
        <v>18.013037000000001</v>
      </c>
      <c r="Q65" s="260">
        <v>18.063179999999999</v>
      </c>
      <c r="R65" s="260">
        <v>18.112973</v>
      </c>
      <c r="S65" s="260">
        <v>18.162499999999998</v>
      </c>
      <c r="T65" s="260">
        <v>18.211828999999998</v>
      </c>
      <c r="U65" s="260">
        <v>18.261005999999998</v>
      </c>
      <c r="V65" s="260">
        <v>18.310060999999997</v>
      </c>
      <c r="W65" s="260">
        <v>18.359002</v>
      </c>
      <c r="X65" s="260">
        <v>18.407827999999999</v>
      </c>
      <c r="Y65" s="260">
        <v>18.456537999999998</v>
      </c>
      <c r="Z65" s="260">
        <v>18.505129999999998</v>
      </c>
      <c r="AA65" s="260">
        <v>18.553601999999998</v>
      </c>
      <c r="AB65" s="260">
        <v>18.601952999999998</v>
      </c>
      <c r="AC65" s="260">
        <v>18.650182999999998</v>
      </c>
      <c r="AD65" s="260">
        <v>18.698288999999999</v>
      </c>
      <c r="AE65" s="260">
        <v>18.746269999999999</v>
      </c>
      <c r="AF65" s="260">
        <v>18.794124999999998</v>
      </c>
      <c r="AG65" s="260">
        <v>18.841851999999999</v>
      </c>
      <c r="AH65" s="260">
        <v>18.88945</v>
      </c>
      <c r="AI65" s="260">
        <v>18.936919</v>
      </c>
      <c r="AJ65" s="260">
        <v>18.984255999999998</v>
      </c>
      <c r="AK65" s="260">
        <v>19.031461</v>
      </c>
      <c r="AL65" s="260">
        <v>19.078530999999998</v>
      </c>
      <c r="AM65" s="260">
        <v>19.125467</v>
      </c>
      <c r="AN65" s="260">
        <v>19.172266999999998</v>
      </c>
      <c r="AO65" s="260">
        <v>19.218928999999999</v>
      </c>
      <c r="AP65" s="260">
        <v>19.265453000000001</v>
      </c>
      <c r="AQ65" s="260">
        <v>19.311837000000001</v>
      </c>
      <c r="AR65" s="260">
        <v>19.358079999999998</v>
      </c>
      <c r="AS65" s="260">
        <v>19.404181999999999</v>
      </c>
      <c r="AT65" s="260">
        <v>19.450139999999998</v>
      </c>
      <c r="AU65" s="260">
        <v>19.495954999999999</v>
      </c>
      <c r="AV65" s="260">
        <v>19.541625</v>
      </c>
      <c r="AW65" s="260">
        <v>19.587147999999999</v>
      </c>
      <c r="AX65" s="260">
        <v>19.632524999999998</v>
      </c>
      <c r="AY65" s="260">
        <v>19.677754</v>
      </c>
      <c r="AZ65" s="260">
        <v>19.722833999999999</v>
      </c>
      <c r="BA65" s="260">
        <v>19.767764</v>
      </c>
      <c r="BB65" s="260">
        <v>19.812542999999998</v>
      </c>
      <c r="BC65" s="260">
        <v>19.85717</v>
      </c>
      <c r="BD65" s="260">
        <v>19.901644999999998</v>
      </c>
      <c r="BE65" s="260">
        <v>19.945967</v>
      </c>
      <c r="BF65" s="260">
        <v>19.990133999999998</v>
      </c>
      <c r="BG65" s="260">
        <v>20.034147000000001</v>
      </c>
      <c r="BH65" s="260">
        <v>20.078002999999999</v>
      </c>
      <c r="BI65" s="260">
        <v>20.121703</v>
      </c>
      <c r="BJ65" s="260">
        <v>20.165246</v>
      </c>
      <c r="BK65" s="260">
        <v>20.208629999999999</v>
      </c>
      <c r="BL65" s="260">
        <v>20.251856</v>
      </c>
      <c r="BM65" s="260">
        <v>20.294922</v>
      </c>
      <c r="BN65" s="260">
        <v>20.337827000000001</v>
      </c>
      <c r="BO65" s="260">
        <v>20.380572000000001</v>
      </c>
      <c r="BP65" s="260">
        <v>20.423155999999999</v>
      </c>
      <c r="BQ65" s="260">
        <v>20.465577</v>
      </c>
      <c r="BR65" s="260">
        <v>20.507835</v>
      </c>
      <c r="BS65" s="260">
        <v>20.549931000000001</v>
      </c>
      <c r="BT65" s="260">
        <v>20.591861999999999</v>
      </c>
      <c r="BU65" s="260">
        <v>20.633628999999999</v>
      </c>
      <c r="BV65" s="260">
        <v>20.675231</v>
      </c>
      <c r="BW65" s="260">
        <v>20.716666999999998</v>
      </c>
      <c r="BX65" s="260">
        <v>20.757936999999998</v>
      </c>
      <c r="BY65" s="260">
        <v>20.799042</v>
      </c>
      <c r="BZ65" s="260">
        <v>20.839979</v>
      </c>
      <c r="CA65" s="260">
        <v>20.880748000000001</v>
      </c>
      <c r="CB65" s="260">
        <v>20.921350999999998</v>
      </c>
      <c r="CC65" s="260">
        <v>20.961783999999998</v>
      </c>
      <c r="CD65" s="260">
        <v>21.002050000000001</v>
      </c>
      <c r="CE65" s="260">
        <v>21.042147</v>
      </c>
      <c r="CF65" s="260">
        <v>21.082073999999999</v>
      </c>
      <c r="CG65" s="260">
        <v>21.121831999999998</v>
      </c>
      <c r="CH65" s="260">
        <v>21.16142</v>
      </c>
    </row>
    <row r="66" spans="1:86" x14ac:dyDescent="0.25">
      <c r="A66" s="170">
        <v>1</v>
      </c>
      <c r="B66" s="170">
        <v>65</v>
      </c>
      <c r="C66" s="259">
        <v>16.305746078491211</v>
      </c>
      <c r="D66" s="259">
        <v>16.378931045532227</v>
      </c>
      <c r="E66" s="259">
        <v>16.451587677001953</v>
      </c>
      <c r="F66" s="259">
        <v>16.523712158203125</v>
      </c>
      <c r="G66" s="259">
        <v>16.595310211181641</v>
      </c>
      <c r="H66" s="259">
        <v>16.6663818359375</v>
      </c>
      <c r="I66" s="260">
        <v>17.060597999999999</v>
      </c>
      <c r="J66" s="260">
        <v>17.117524</v>
      </c>
      <c r="K66" s="260">
        <v>17.173009</v>
      </c>
      <c r="L66" s="260">
        <v>17.227232999999998</v>
      </c>
      <c r="M66" s="260">
        <v>17.280373999999998</v>
      </c>
      <c r="N66" s="260">
        <v>17.332601999999998</v>
      </c>
      <c r="O66" s="260">
        <v>17.384076999999998</v>
      </c>
      <c r="P66" s="260">
        <v>17.434944999999999</v>
      </c>
      <c r="Q66" s="260">
        <v>17.485334999999999</v>
      </c>
      <c r="R66" s="260">
        <v>17.535360000000001</v>
      </c>
      <c r="S66" s="260">
        <v>17.585110999999998</v>
      </c>
      <c r="T66" s="260">
        <v>17.634660999999998</v>
      </c>
      <c r="U66" s="260">
        <v>17.684062000000001</v>
      </c>
      <c r="V66" s="260">
        <v>17.733343999999999</v>
      </c>
      <c r="W66" s="260">
        <v>17.782515999999998</v>
      </c>
      <c r="X66" s="260">
        <v>17.831576999999999</v>
      </c>
      <c r="Y66" s="260">
        <v>17.880524999999999</v>
      </c>
      <c r="Z66" s="260">
        <v>17.929358999999998</v>
      </c>
      <c r="AA66" s="260">
        <v>17.978078</v>
      </c>
      <c r="AB66" s="260">
        <v>18.026679999999999</v>
      </c>
      <c r="AC66" s="260">
        <v>18.075163</v>
      </c>
      <c r="AD66" s="260">
        <v>18.123525999999998</v>
      </c>
      <c r="AE66" s="260">
        <v>18.171768</v>
      </c>
      <c r="AF66" s="260">
        <v>18.219887999999997</v>
      </c>
      <c r="AG66" s="260">
        <v>18.267882999999998</v>
      </c>
      <c r="AH66" s="260">
        <v>18.315753000000001</v>
      </c>
      <c r="AI66" s="260">
        <v>18.363495999999998</v>
      </c>
      <c r="AJ66" s="260">
        <v>18.411110999999998</v>
      </c>
      <c r="AK66" s="260">
        <v>18.458596999999997</v>
      </c>
      <c r="AL66" s="260">
        <v>18.505952000000001</v>
      </c>
      <c r="AM66" s="260">
        <v>18.553175</v>
      </c>
      <c r="AN66" s="260">
        <v>18.600265999999998</v>
      </c>
      <c r="AO66" s="260">
        <v>18.647220999999998</v>
      </c>
      <c r="AP66" s="260">
        <v>18.694042</v>
      </c>
      <c r="AQ66" s="260">
        <v>18.740724999999998</v>
      </c>
      <c r="AR66" s="260">
        <v>18.787271</v>
      </c>
      <c r="AS66" s="260">
        <v>18.833677999999999</v>
      </c>
      <c r="AT66" s="260">
        <v>18.879943999999998</v>
      </c>
      <c r="AU66" s="260">
        <v>18.926069999999999</v>
      </c>
      <c r="AV66" s="260">
        <v>18.972052999999999</v>
      </c>
      <c r="AW66" s="260">
        <v>19.017892</v>
      </c>
      <c r="AX66" s="260">
        <v>19.063586999999998</v>
      </c>
      <c r="AY66" s="260">
        <v>19.109137</v>
      </c>
      <c r="AZ66" s="260">
        <v>19.154540000000001</v>
      </c>
      <c r="BA66" s="260">
        <v>19.199795999999999</v>
      </c>
      <c r="BB66" s="260">
        <v>19.244903000000001</v>
      </c>
      <c r="BC66" s="260">
        <v>19.289860999999998</v>
      </c>
      <c r="BD66" s="260">
        <v>19.334668000000001</v>
      </c>
      <c r="BE66" s="260">
        <v>19.379324999999998</v>
      </c>
      <c r="BF66" s="260">
        <v>19.423828999999998</v>
      </c>
      <c r="BG66" s="260">
        <v>19.46818</v>
      </c>
      <c r="BH66" s="260">
        <v>19.512377999999998</v>
      </c>
      <c r="BI66" s="260">
        <v>19.556419999999999</v>
      </c>
      <c r="BJ66" s="260">
        <v>19.600307999999998</v>
      </c>
      <c r="BK66" s="260">
        <v>19.644038999999999</v>
      </c>
      <c r="BL66" s="260">
        <v>19.687612999999999</v>
      </c>
      <c r="BM66" s="260">
        <v>19.731028999999999</v>
      </c>
      <c r="BN66" s="260">
        <v>19.774286999999998</v>
      </c>
      <c r="BO66" s="260">
        <v>19.817385999999999</v>
      </c>
      <c r="BP66" s="260">
        <v>19.860325</v>
      </c>
      <c r="BQ66" s="260">
        <v>19.903102999999998</v>
      </c>
      <c r="BR66" s="260">
        <v>19.945719999999998</v>
      </c>
      <c r="BS66" s="260">
        <v>19.988174999999998</v>
      </c>
      <c r="BT66" s="260">
        <v>20.030467999999999</v>
      </c>
      <c r="BU66" s="260">
        <v>20.072597999999999</v>
      </c>
      <c r="BV66" s="260">
        <v>20.114563999999998</v>
      </c>
      <c r="BW66" s="260">
        <v>20.156365999999998</v>
      </c>
      <c r="BX66" s="260">
        <v>20.198003</v>
      </c>
      <c r="BY66" s="260">
        <v>20.239476</v>
      </c>
      <c r="BZ66" s="260">
        <v>20.280781999999999</v>
      </c>
      <c r="CA66" s="260">
        <v>20.321922999999998</v>
      </c>
      <c r="CB66" s="260">
        <v>20.362895999999999</v>
      </c>
      <c r="CC66" s="260">
        <v>20.403703</v>
      </c>
      <c r="CD66" s="260">
        <v>20.444341999999999</v>
      </c>
      <c r="CE66" s="260">
        <v>20.484814</v>
      </c>
      <c r="CF66" s="260">
        <v>20.525116999999998</v>
      </c>
      <c r="CG66" s="260">
        <v>20.565251</v>
      </c>
      <c r="CH66" s="260">
        <v>20.605217</v>
      </c>
    </row>
    <row r="67" spans="1:86" x14ac:dyDescent="0.25">
      <c r="A67" s="170">
        <v>1</v>
      </c>
      <c r="B67" s="170">
        <v>66</v>
      </c>
      <c r="C67" s="259">
        <v>15.721942901611328</v>
      </c>
      <c r="D67" s="259">
        <v>15.794436454772949</v>
      </c>
      <c r="E67" s="259">
        <v>15.866421699523926</v>
      </c>
      <c r="F67" s="259">
        <v>15.937898635864258</v>
      </c>
      <c r="G67" s="259">
        <v>16.008869171142578</v>
      </c>
      <c r="H67" s="259">
        <v>16.079334259033203</v>
      </c>
      <c r="I67" s="260">
        <v>16.475638</v>
      </c>
      <c r="J67" s="260">
        <v>16.533147</v>
      </c>
      <c r="K67" s="260">
        <v>16.589141999999999</v>
      </c>
      <c r="L67" s="260">
        <v>16.643809000000001</v>
      </c>
      <c r="M67" s="260">
        <v>16.697330000000001</v>
      </c>
      <c r="N67" s="260">
        <v>16.749883999999998</v>
      </c>
      <c r="O67" s="260">
        <v>16.801638999999998</v>
      </c>
      <c r="P67" s="260">
        <v>16.852748999999999</v>
      </c>
      <c r="Q67" s="260">
        <v>16.903354</v>
      </c>
      <c r="R67" s="260">
        <v>16.953574</v>
      </c>
      <c r="S67" s="260">
        <v>17.003509999999999</v>
      </c>
      <c r="T67" s="260">
        <v>17.053242000000001</v>
      </c>
      <c r="U67" s="260">
        <v>17.102823999999998</v>
      </c>
      <c r="V67" s="260">
        <v>17.152290999999998</v>
      </c>
      <c r="W67" s="260">
        <v>17.201651999999999</v>
      </c>
      <c r="X67" s="260">
        <v>17.250906999999998</v>
      </c>
      <c r="Y67" s="260">
        <v>17.300052999999998</v>
      </c>
      <c r="Z67" s="260">
        <v>17.349088999999999</v>
      </c>
      <c r="AA67" s="260">
        <v>17.398012999999999</v>
      </c>
      <c r="AB67" s="260">
        <v>17.446823999999999</v>
      </c>
      <c r="AC67" s="260">
        <v>17.495521</v>
      </c>
      <c r="AD67" s="260">
        <v>17.544101999999999</v>
      </c>
      <c r="AE67" s="260">
        <v>17.592565</v>
      </c>
      <c r="AF67" s="260">
        <v>17.640909000000001</v>
      </c>
      <c r="AG67" s="260">
        <v>17.689132999999998</v>
      </c>
      <c r="AH67" s="260">
        <v>17.737234000000001</v>
      </c>
      <c r="AI67" s="260">
        <v>17.785212999999999</v>
      </c>
      <c r="AJ67" s="260">
        <v>17.833067</v>
      </c>
      <c r="AK67" s="260">
        <v>17.880796</v>
      </c>
      <c r="AL67" s="260">
        <v>17.928397</v>
      </c>
      <c r="AM67" s="260">
        <v>17.975868999999999</v>
      </c>
      <c r="AN67" s="260">
        <v>18.023212000000001</v>
      </c>
      <c r="AO67" s="260">
        <v>18.070423999999999</v>
      </c>
      <c r="AP67" s="260">
        <v>18.117502999999999</v>
      </c>
      <c r="AQ67" s="260">
        <v>18.164448999999998</v>
      </c>
      <c r="AR67" s="260">
        <v>18.211259999999999</v>
      </c>
      <c r="AS67" s="260">
        <v>18.257933999999999</v>
      </c>
      <c r="AT67" s="260">
        <v>18.304472000000001</v>
      </c>
      <c r="AU67" s="260">
        <v>18.350870999999998</v>
      </c>
      <c r="AV67" s="260">
        <v>18.397130999999998</v>
      </c>
      <c r="AW67" s="260">
        <v>18.443249999999999</v>
      </c>
      <c r="AX67" s="260">
        <v>18.489228000000001</v>
      </c>
      <c r="AY67" s="260">
        <v>18.535062999999997</v>
      </c>
      <c r="AZ67" s="260">
        <v>18.580753999999999</v>
      </c>
      <c r="BA67" s="260">
        <v>18.626300000000001</v>
      </c>
      <c r="BB67" s="260">
        <v>18.671699999999998</v>
      </c>
      <c r="BC67" s="260">
        <v>18.716953</v>
      </c>
      <c r="BD67" s="260">
        <v>18.762058</v>
      </c>
      <c r="BE67" s="260">
        <v>18.807015</v>
      </c>
      <c r="BF67" s="260">
        <v>18.851820999999997</v>
      </c>
      <c r="BG67" s="260">
        <v>18.896477999999998</v>
      </c>
      <c r="BH67" s="260">
        <v>18.940981999999998</v>
      </c>
      <c r="BI67" s="260">
        <v>18.985333999999998</v>
      </c>
      <c r="BJ67" s="260">
        <v>19.029533000000001</v>
      </c>
      <c r="BK67" s="260">
        <v>19.073577</v>
      </c>
      <c r="BL67" s="260">
        <v>19.117466999999998</v>
      </c>
      <c r="BM67" s="260">
        <v>19.161200999999998</v>
      </c>
      <c r="BN67" s="260">
        <v>19.204777999999997</v>
      </c>
      <c r="BO67" s="260">
        <v>19.248197999999999</v>
      </c>
      <c r="BP67" s="260">
        <v>19.291460000000001</v>
      </c>
      <c r="BQ67" s="260">
        <v>19.334564</v>
      </c>
      <c r="BR67" s="260">
        <v>19.377507999999999</v>
      </c>
      <c r="BS67" s="260">
        <v>19.420290999999999</v>
      </c>
      <c r="BT67" s="260">
        <v>19.462913999999998</v>
      </c>
      <c r="BU67" s="260">
        <v>19.505375999999998</v>
      </c>
      <c r="BV67" s="260">
        <v>19.547675999999999</v>
      </c>
      <c r="BW67" s="260">
        <v>19.589812999999999</v>
      </c>
      <c r="BX67" s="260">
        <v>19.631786999999999</v>
      </c>
      <c r="BY67" s="260">
        <v>19.673596999999997</v>
      </c>
      <c r="BZ67" s="260">
        <v>19.715242999999997</v>
      </c>
      <c r="CA67" s="260">
        <v>19.756723999999998</v>
      </c>
      <c r="CB67" s="260">
        <v>19.79804</v>
      </c>
      <c r="CC67" s="260">
        <v>19.839189999999999</v>
      </c>
      <c r="CD67" s="260">
        <v>19.880172999999999</v>
      </c>
      <c r="CE67" s="260">
        <v>19.92099</v>
      </c>
      <c r="CF67" s="260">
        <v>19.961641</v>
      </c>
      <c r="CG67" s="260">
        <v>20.002122999999997</v>
      </c>
      <c r="CH67" s="260">
        <v>20.042438000000001</v>
      </c>
    </row>
    <row r="68" spans="1:86" x14ac:dyDescent="0.25">
      <c r="A68" s="170">
        <v>1</v>
      </c>
      <c r="B68" s="170">
        <v>67</v>
      </c>
      <c r="C68" s="259">
        <v>15.138619422912598</v>
      </c>
      <c r="D68" s="259">
        <v>15.210229873657227</v>
      </c>
      <c r="E68" s="259">
        <v>15.281356811523438</v>
      </c>
      <c r="F68" s="259">
        <v>15.351999282836914</v>
      </c>
      <c r="G68" s="259">
        <v>15.422157287597656</v>
      </c>
      <c r="H68" s="259">
        <v>15.49183177947998</v>
      </c>
      <c r="I68" s="260">
        <v>15.890112999999999</v>
      </c>
      <c r="J68" s="260">
        <v>15.948134</v>
      </c>
      <c r="K68" s="260">
        <v>16.004577999999999</v>
      </c>
      <c r="L68" s="260">
        <v>16.059629999999999</v>
      </c>
      <c r="M68" s="260">
        <v>16.113477</v>
      </c>
      <c r="N68" s="260">
        <v>16.166302999999999</v>
      </c>
      <c r="O68" s="260">
        <v>16.218283</v>
      </c>
      <c r="P68" s="260">
        <v>16.269579999999998</v>
      </c>
      <c r="Q68" s="260">
        <v>16.320342</v>
      </c>
      <c r="R68" s="260">
        <v>16.370699999999999</v>
      </c>
      <c r="S68" s="260">
        <v>16.420759999999998</v>
      </c>
      <c r="T68" s="260">
        <v>16.470610999999998</v>
      </c>
      <c r="U68" s="260">
        <v>16.520312000000001</v>
      </c>
      <c r="V68" s="260">
        <v>16.569901999999999</v>
      </c>
      <c r="W68" s="260">
        <v>16.619389999999999</v>
      </c>
      <c r="X68" s="260">
        <v>16.668775999999998</v>
      </c>
      <c r="Y68" s="260">
        <v>16.718057999999999</v>
      </c>
      <c r="Z68" s="260">
        <v>16.767233999999998</v>
      </c>
      <c r="AA68" s="260">
        <v>16.816302999999998</v>
      </c>
      <c r="AB68" s="260">
        <v>16.865262999999999</v>
      </c>
      <c r="AC68" s="260">
        <v>16.914111999999999</v>
      </c>
      <c r="AD68" s="260">
        <v>16.96285</v>
      </c>
      <c r="AE68" s="260">
        <v>17.011474</v>
      </c>
      <c r="AF68" s="260">
        <v>17.059982999999999</v>
      </c>
      <c r="AG68" s="260">
        <v>17.108376</v>
      </c>
      <c r="AH68" s="260">
        <v>17.156651</v>
      </c>
      <c r="AI68" s="260">
        <v>17.204805999999998</v>
      </c>
      <c r="AJ68" s="260">
        <v>17.252841</v>
      </c>
      <c r="AK68" s="260">
        <v>17.300753</v>
      </c>
      <c r="AL68" s="260">
        <v>17.348541999999998</v>
      </c>
      <c r="AM68" s="260">
        <v>17.396205999999999</v>
      </c>
      <c r="AN68" s="260">
        <v>17.443743999999999</v>
      </c>
      <c r="AO68" s="260">
        <v>17.491153999999998</v>
      </c>
      <c r="AP68" s="260">
        <v>17.538435</v>
      </c>
      <c r="AQ68" s="260">
        <v>17.585587</v>
      </c>
      <c r="AR68" s="260">
        <v>17.632605999999999</v>
      </c>
      <c r="AS68" s="260">
        <v>17.679493000000001</v>
      </c>
      <c r="AT68" s="260">
        <v>17.726246</v>
      </c>
      <c r="AU68" s="260">
        <v>17.772863999999998</v>
      </c>
      <c r="AV68" s="260">
        <v>17.819344999999998</v>
      </c>
      <c r="AW68" s="260">
        <v>17.865689</v>
      </c>
      <c r="AX68" s="260">
        <v>17.911894999999998</v>
      </c>
      <c r="AY68" s="260">
        <v>17.95796</v>
      </c>
      <c r="AZ68" s="260">
        <v>18.003885</v>
      </c>
      <c r="BA68" s="260">
        <v>18.049666999999999</v>
      </c>
      <c r="BB68" s="260">
        <v>18.095306999999998</v>
      </c>
      <c r="BC68" s="260">
        <v>18.140802999999998</v>
      </c>
      <c r="BD68" s="260">
        <v>18.186153000000001</v>
      </c>
      <c r="BE68" s="260">
        <v>18.231356999999999</v>
      </c>
      <c r="BF68" s="260">
        <v>18.276413999999999</v>
      </c>
      <c r="BG68" s="260">
        <v>18.321323</v>
      </c>
      <c r="BH68" s="260">
        <v>18.366083</v>
      </c>
      <c r="BI68" s="260">
        <v>18.410692999999998</v>
      </c>
      <c r="BJ68" s="260">
        <v>18.455151999999998</v>
      </c>
      <c r="BK68" s="260">
        <v>18.499459999999999</v>
      </c>
      <c r="BL68" s="260">
        <v>18.543613999999998</v>
      </c>
      <c r="BM68" s="260">
        <v>18.587616000000001</v>
      </c>
      <c r="BN68" s="260">
        <v>18.631463</v>
      </c>
      <c r="BO68" s="260">
        <v>18.675155</v>
      </c>
      <c r="BP68" s="260">
        <v>18.718691</v>
      </c>
      <c r="BQ68" s="260">
        <v>18.762069999999998</v>
      </c>
      <c r="BR68" s="260">
        <v>18.805291999999998</v>
      </c>
      <c r="BS68" s="260">
        <v>18.848355999999999</v>
      </c>
      <c r="BT68" s="260">
        <v>18.891261999999998</v>
      </c>
      <c r="BU68" s="260">
        <v>18.934006999999998</v>
      </c>
      <c r="BV68" s="260">
        <v>18.976592999999998</v>
      </c>
      <c r="BW68" s="260">
        <v>19.019017999999999</v>
      </c>
      <c r="BX68" s="260">
        <v>19.061280999999997</v>
      </c>
      <c r="BY68" s="260">
        <v>19.103383000000001</v>
      </c>
      <c r="BZ68" s="260">
        <v>19.145322</v>
      </c>
      <c r="CA68" s="260">
        <v>19.187097999999999</v>
      </c>
      <c r="CB68" s="260">
        <v>19.22871</v>
      </c>
      <c r="CC68" s="260">
        <v>19.270157999999999</v>
      </c>
      <c r="CD68" s="260">
        <v>19.311440999999999</v>
      </c>
      <c r="CE68" s="260">
        <v>19.35256</v>
      </c>
      <c r="CF68" s="260">
        <v>19.393511999999998</v>
      </c>
      <c r="CG68" s="260">
        <v>19.434298999999999</v>
      </c>
      <c r="CH68" s="260">
        <v>19.474917999999999</v>
      </c>
    </row>
    <row r="69" spans="1:86" x14ac:dyDescent="0.25">
      <c r="A69" s="170">
        <v>1</v>
      </c>
      <c r="B69" s="170">
        <v>68</v>
      </c>
      <c r="C69" s="259">
        <v>14.557906150817871</v>
      </c>
      <c r="D69" s="259">
        <v>14.628410339355469</v>
      </c>
      <c r="E69" s="259">
        <v>14.698455810546875</v>
      </c>
      <c r="F69" s="259">
        <v>14.76804256439209</v>
      </c>
      <c r="G69" s="259">
        <v>14.83717155456543</v>
      </c>
      <c r="H69" s="259">
        <v>14.905842781066895</v>
      </c>
      <c r="I69" s="260">
        <v>15.307333999999999</v>
      </c>
      <c r="J69" s="260">
        <v>15.365748</v>
      </c>
      <c r="K69" s="260">
        <v>15.422528999999999</v>
      </c>
      <c r="L69" s="260">
        <v>15.477863999999999</v>
      </c>
      <c r="M69" s="260">
        <v>15.531941999999999</v>
      </c>
      <c r="N69" s="260">
        <v>15.584950999999998</v>
      </c>
      <c r="O69" s="260">
        <v>15.63707</v>
      </c>
      <c r="P69" s="260">
        <v>15.688471999999999</v>
      </c>
      <c r="Q69" s="260">
        <v>15.73931</v>
      </c>
      <c r="R69" s="260">
        <v>15.789721999999999</v>
      </c>
      <c r="S69" s="260">
        <v>15.839825999999999</v>
      </c>
      <c r="T69" s="260">
        <v>15.889712999999999</v>
      </c>
      <c r="U69" s="260">
        <v>15.939451999999999</v>
      </c>
      <c r="V69" s="260">
        <v>15.989082</v>
      </c>
      <c r="W69" s="260">
        <v>16.038615999999998</v>
      </c>
      <c r="X69" s="260">
        <v>16.088052999999999</v>
      </c>
      <c r="Y69" s="260">
        <v>16.13739</v>
      </c>
      <c r="Z69" s="260">
        <v>16.186624999999999</v>
      </c>
      <c r="AA69" s="260">
        <v>16.235758000000001</v>
      </c>
      <c r="AB69" s="260">
        <v>16.284786999999998</v>
      </c>
      <c r="AC69" s="260">
        <v>16.33371</v>
      </c>
      <c r="AD69" s="260">
        <v>16.382524999999998</v>
      </c>
      <c r="AE69" s="260">
        <v>16.431231999999998</v>
      </c>
      <c r="AF69" s="260">
        <v>16.479827</v>
      </c>
      <c r="AG69" s="260">
        <v>16.528310999999999</v>
      </c>
      <c r="AH69" s="260">
        <v>16.57668</v>
      </c>
      <c r="AI69" s="260">
        <v>16.624935000000001</v>
      </c>
      <c r="AJ69" s="260">
        <v>16.673072999999999</v>
      </c>
      <c r="AK69" s="260">
        <v>16.721093</v>
      </c>
      <c r="AL69" s="260">
        <v>16.768993999999999</v>
      </c>
      <c r="AM69" s="260">
        <v>16.816772999999998</v>
      </c>
      <c r="AN69" s="260">
        <v>16.864429999999999</v>
      </c>
      <c r="AO69" s="260">
        <v>16.911963999999998</v>
      </c>
      <c r="AP69" s="260">
        <v>16.959371999999998</v>
      </c>
      <c r="AQ69" s="260">
        <v>17.006653999999997</v>
      </c>
      <c r="AR69" s="260">
        <v>17.053808</v>
      </c>
      <c r="AS69" s="260">
        <v>17.100832999999998</v>
      </c>
      <c r="AT69" s="260">
        <v>17.147728000000001</v>
      </c>
      <c r="AU69" s="260">
        <v>17.194490999999999</v>
      </c>
      <c r="AV69" s="260">
        <v>17.241122000000001</v>
      </c>
      <c r="AW69" s="260">
        <v>17.287617999999998</v>
      </c>
      <c r="AX69" s="260">
        <v>17.333978999999999</v>
      </c>
      <c r="AY69" s="260">
        <v>17.380203999999999</v>
      </c>
      <c r="AZ69" s="260">
        <v>17.426290999999999</v>
      </c>
      <c r="BA69" s="260">
        <v>17.472238999999998</v>
      </c>
      <c r="BB69" s="260">
        <v>17.518046999999999</v>
      </c>
      <c r="BC69" s="260">
        <v>17.563714999999998</v>
      </c>
      <c r="BD69" s="260">
        <v>17.60924</v>
      </c>
      <c r="BE69" s="260">
        <v>17.654623000000001</v>
      </c>
      <c r="BF69" s="260">
        <v>17.699860999999999</v>
      </c>
      <c r="BG69" s="260">
        <v>17.744954</v>
      </c>
      <c r="BH69" s="260">
        <v>17.789901</v>
      </c>
      <c r="BI69" s="260">
        <v>17.834700999999999</v>
      </c>
      <c r="BJ69" s="260">
        <v>17.879352999999998</v>
      </c>
      <c r="BK69" s="260">
        <v>17.923856000000001</v>
      </c>
      <c r="BL69" s="260">
        <v>17.968208999999998</v>
      </c>
      <c r="BM69" s="260">
        <v>18.012411</v>
      </c>
      <c r="BN69" s="260">
        <v>18.056462</v>
      </c>
      <c r="BO69" s="260">
        <v>18.100359999999998</v>
      </c>
      <c r="BP69" s="260">
        <v>18.144103999999999</v>
      </c>
      <c r="BQ69" s="260">
        <v>18.187694999999998</v>
      </c>
      <c r="BR69" s="260">
        <v>18.23113</v>
      </c>
      <c r="BS69" s="260">
        <v>18.27441</v>
      </c>
      <c r="BT69" s="260">
        <v>18.317533999999998</v>
      </c>
      <c r="BU69" s="260">
        <v>18.360499999999998</v>
      </c>
      <c r="BV69" s="260">
        <v>18.403309</v>
      </c>
      <c r="BW69" s="260">
        <v>18.445958999999998</v>
      </c>
      <c r="BX69" s="260">
        <v>18.488448999999999</v>
      </c>
      <c r="BY69" s="260">
        <v>18.53078</v>
      </c>
      <c r="BZ69" s="260">
        <v>18.572951</v>
      </c>
      <c r="CA69" s="260">
        <v>18.61496</v>
      </c>
      <c r="CB69" s="260">
        <v>18.656807999999998</v>
      </c>
      <c r="CC69" s="260">
        <v>18.698492999999999</v>
      </c>
      <c r="CD69" s="260">
        <v>18.740016000000001</v>
      </c>
      <c r="CE69" s="260">
        <v>18.781375000000001</v>
      </c>
      <c r="CF69" s="260">
        <v>18.822571</v>
      </c>
      <c r="CG69" s="260">
        <v>18.863602</v>
      </c>
      <c r="CH69" s="260">
        <v>18.904467999999998</v>
      </c>
    </row>
    <row r="70" spans="1:86" x14ac:dyDescent="0.25">
      <c r="A70" s="170">
        <v>1</v>
      </c>
      <c r="B70" s="170">
        <v>69</v>
      </c>
      <c r="C70" s="259">
        <v>13.981339454650879</v>
      </c>
      <c r="D70" s="259">
        <v>14.050485610961914</v>
      </c>
      <c r="E70" s="259">
        <v>14.119203567504883</v>
      </c>
      <c r="F70" s="259">
        <v>14.187493324279785</v>
      </c>
      <c r="G70" s="259">
        <v>14.255351066589355</v>
      </c>
      <c r="H70" s="259">
        <v>14.32277774810791</v>
      </c>
      <c r="I70" s="260">
        <v>14.729721999999999</v>
      </c>
      <c r="J70" s="260">
        <v>14.788364999999999</v>
      </c>
      <c r="K70" s="260">
        <v>14.845336</v>
      </c>
      <c r="L70" s="260">
        <v>14.900817999999999</v>
      </c>
      <c r="M70" s="260">
        <v>14.955001999999999</v>
      </c>
      <c r="N70" s="260">
        <v>15.008077</v>
      </c>
      <c r="O70" s="260">
        <v>15.060227999999999</v>
      </c>
      <c r="P70" s="260">
        <v>15.11163</v>
      </c>
      <c r="Q70" s="260">
        <v>15.162443999999999</v>
      </c>
      <c r="R70" s="260">
        <v>15.212814</v>
      </c>
      <c r="S70" s="260">
        <v>15.262865</v>
      </c>
      <c r="T70" s="260">
        <v>15.312693999999999</v>
      </c>
      <c r="U70" s="260">
        <v>15.362375</v>
      </c>
      <c r="V70" s="260">
        <v>15.411951</v>
      </c>
      <c r="W70" s="260">
        <v>15.461435999999999</v>
      </c>
      <c r="X70" s="260">
        <v>15.510828999999999</v>
      </c>
      <c r="Y70" s="260">
        <v>15.560127</v>
      </c>
      <c r="Z70" s="260">
        <v>15.609328999999999</v>
      </c>
      <c r="AA70" s="260">
        <v>15.658432999999999</v>
      </c>
      <c r="AB70" s="260">
        <v>15.707438</v>
      </c>
      <c r="AC70" s="260">
        <v>15.756342</v>
      </c>
      <c r="AD70" s="260">
        <v>15.805143999999999</v>
      </c>
      <c r="AE70" s="260">
        <v>15.853840999999999</v>
      </c>
      <c r="AF70" s="260">
        <v>15.902431999999999</v>
      </c>
      <c r="AG70" s="260">
        <v>15.950914999999998</v>
      </c>
      <c r="AH70" s="260">
        <v>15.999289999999998</v>
      </c>
      <c r="AI70" s="260">
        <v>16.047553000000001</v>
      </c>
      <c r="AJ70" s="260">
        <v>16.095704999999999</v>
      </c>
      <c r="AK70" s="260">
        <v>16.143743000000001</v>
      </c>
      <c r="AL70" s="260">
        <v>16.191665999999998</v>
      </c>
      <c r="AM70" s="260">
        <v>16.239473</v>
      </c>
      <c r="AN70" s="260">
        <v>16.287160999999998</v>
      </c>
      <c r="AO70" s="260">
        <v>16.33473</v>
      </c>
      <c r="AP70" s="260">
        <v>16.382178</v>
      </c>
      <c r="AQ70" s="260">
        <v>16.429503999999998</v>
      </c>
      <c r="AR70" s="260">
        <v>16.476706</v>
      </c>
      <c r="AS70" s="260">
        <v>16.523782999999998</v>
      </c>
      <c r="AT70" s="260">
        <v>16.570733999999998</v>
      </c>
      <c r="AU70" s="260">
        <v>16.617556999999998</v>
      </c>
      <c r="AV70" s="260">
        <v>16.664251</v>
      </c>
      <c r="AW70" s="260">
        <v>16.710815</v>
      </c>
      <c r="AX70" s="260">
        <v>16.757248000000001</v>
      </c>
      <c r="AY70" s="260">
        <v>16.803546999999998</v>
      </c>
      <c r="AZ70" s="260">
        <v>16.849712999999998</v>
      </c>
      <c r="BA70" s="260">
        <v>16.895744000000001</v>
      </c>
      <c r="BB70" s="260">
        <v>16.941638999999999</v>
      </c>
      <c r="BC70" s="260">
        <v>16.987396</v>
      </c>
      <c r="BD70" s="260">
        <v>17.033014999999999</v>
      </c>
      <c r="BE70" s="260">
        <v>17.078493999999999</v>
      </c>
      <c r="BF70" s="260">
        <v>17.123832</v>
      </c>
      <c r="BG70" s="260">
        <v>17.169028999999998</v>
      </c>
      <c r="BH70" s="260">
        <v>17.214082999999999</v>
      </c>
      <c r="BI70" s="260">
        <v>17.258993</v>
      </c>
      <c r="BJ70" s="260">
        <v>17.303757999999998</v>
      </c>
      <c r="BK70" s="260">
        <v>17.348376999999999</v>
      </c>
      <c r="BL70" s="260">
        <v>17.392849999999999</v>
      </c>
      <c r="BM70" s="260">
        <v>17.437173999999999</v>
      </c>
      <c r="BN70" s="260">
        <v>17.481351</v>
      </c>
      <c r="BO70" s="260">
        <v>17.525376999999999</v>
      </c>
      <c r="BP70" s="260">
        <v>17.569254000000001</v>
      </c>
      <c r="BQ70" s="260">
        <v>17.612978999999999</v>
      </c>
      <c r="BR70" s="260">
        <v>17.656551999999998</v>
      </c>
      <c r="BS70" s="260">
        <v>17.699971999999999</v>
      </c>
      <c r="BT70" s="260">
        <v>17.743237999999998</v>
      </c>
      <c r="BU70" s="260">
        <v>17.786349999999999</v>
      </c>
      <c r="BV70" s="260">
        <v>17.829307</v>
      </c>
      <c r="BW70" s="260">
        <v>17.872108000000001</v>
      </c>
      <c r="BX70" s="260">
        <v>17.914752</v>
      </c>
      <c r="BY70" s="260">
        <v>17.957238999999998</v>
      </c>
      <c r="BZ70" s="260">
        <v>17.999568</v>
      </c>
      <c r="CA70" s="260">
        <v>18.041737999999999</v>
      </c>
      <c r="CB70" s="260">
        <v>18.083748999999997</v>
      </c>
      <c r="CC70" s="260">
        <v>18.125601</v>
      </c>
      <c r="CD70" s="260">
        <v>18.167290999999999</v>
      </c>
      <c r="CE70" s="260">
        <v>18.208821</v>
      </c>
      <c r="CF70" s="260">
        <v>18.250188999999999</v>
      </c>
      <c r="CG70" s="260">
        <v>18.291394999999998</v>
      </c>
      <c r="CH70" s="260">
        <v>18.332439000000001</v>
      </c>
    </row>
    <row r="71" spans="1:86" x14ac:dyDescent="0.25">
      <c r="A71" s="170">
        <v>1</v>
      </c>
      <c r="B71" s="170">
        <v>70</v>
      </c>
      <c r="C71" s="259">
        <v>13.409756660461426</v>
      </c>
      <c r="D71" s="259">
        <v>13.477282524108887</v>
      </c>
      <c r="E71" s="259">
        <v>13.544410705566406</v>
      </c>
      <c r="F71" s="259">
        <v>13.611141204833984</v>
      </c>
      <c r="G71" s="259">
        <v>13.677472114562988</v>
      </c>
      <c r="H71" s="259">
        <v>13.743403434753418</v>
      </c>
      <c r="I71" s="260">
        <v>14.158512999999999</v>
      </c>
      <c r="J71" s="260">
        <v>14.217198999999999</v>
      </c>
      <c r="K71" s="260">
        <v>14.274189</v>
      </c>
      <c r="L71" s="260">
        <v>14.329664999999999</v>
      </c>
      <c r="M71" s="260">
        <v>14.383813</v>
      </c>
      <c r="N71" s="260">
        <v>14.436824</v>
      </c>
      <c r="O71" s="260">
        <v>14.488885</v>
      </c>
      <c r="P71" s="260">
        <v>14.540172</v>
      </c>
      <c r="Q71" s="260">
        <v>14.590852999999999</v>
      </c>
      <c r="R71" s="260">
        <v>14.641076</v>
      </c>
      <c r="S71" s="260">
        <v>14.69097</v>
      </c>
      <c r="T71" s="260">
        <v>14.740641</v>
      </c>
      <c r="U71" s="260">
        <v>14.790163</v>
      </c>
      <c r="V71" s="260">
        <v>14.839585999999999</v>
      </c>
      <c r="W71" s="260">
        <v>14.888923</v>
      </c>
      <c r="X71" s="260">
        <v>14.938172</v>
      </c>
      <c r="Y71" s="260">
        <v>14.987333</v>
      </c>
      <c r="Z71" s="260">
        <v>15.036403</v>
      </c>
      <c r="AA71" s="260">
        <v>15.085381</v>
      </c>
      <c r="AB71" s="260">
        <v>15.134264</v>
      </c>
      <c r="AC71" s="260">
        <v>15.183052</v>
      </c>
      <c r="AD71" s="260">
        <v>15.231741999999999</v>
      </c>
      <c r="AE71" s="260">
        <v>15.280332999999999</v>
      </c>
      <c r="AF71" s="260">
        <v>15.328823</v>
      </c>
      <c r="AG71" s="260">
        <v>15.37721</v>
      </c>
      <c r="AH71" s="260">
        <v>15.425492999999999</v>
      </c>
      <c r="AI71" s="260">
        <v>15.473671</v>
      </c>
      <c r="AJ71" s="260">
        <v>15.521742</v>
      </c>
      <c r="AK71" s="260">
        <v>15.569702999999999</v>
      </c>
      <c r="AL71" s="260">
        <v>15.617554</v>
      </c>
      <c r="AM71" s="260">
        <v>15.665293999999999</v>
      </c>
      <c r="AN71" s="260">
        <v>15.712919999999999</v>
      </c>
      <c r="AO71" s="260">
        <v>15.760430999999999</v>
      </c>
      <c r="AP71" s="260">
        <v>15.807825999999999</v>
      </c>
      <c r="AQ71" s="260">
        <v>15.855103</v>
      </c>
      <c r="AR71" s="260">
        <v>15.902260999999999</v>
      </c>
      <c r="AS71" s="260">
        <v>15.949297999999999</v>
      </c>
      <c r="AT71" s="260">
        <v>15.996212999999999</v>
      </c>
      <c r="AU71" s="260">
        <v>16.043005000000001</v>
      </c>
      <c r="AV71" s="260">
        <v>16.089672999999998</v>
      </c>
      <c r="AW71" s="260">
        <v>16.136213999999999</v>
      </c>
      <c r="AX71" s="260">
        <v>16.182627999999998</v>
      </c>
      <c r="AY71" s="260">
        <v>16.228914</v>
      </c>
      <c r="AZ71" s="260">
        <v>16.275069999999999</v>
      </c>
      <c r="BA71" s="260">
        <v>16.321093999999999</v>
      </c>
      <c r="BB71" s="260">
        <v>16.366986999999998</v>
      </c>
      <c r="BC71" s="260">
        <v>16.412745999999999</v>
      </c>
      <c r="BD71" s="260">
        <v>16.458369999999999</v>
      </c>
      <c r="BE71" s="260">
        <v>16.503858999999999</v>
      </c>
      <c r="BF71" s="260">
        <v>16.549211</v>
      </c>
      <c r="BG71" s="260">
        <v>16.594424999999998</v>
      </c>
      <c r="BH71" s="260">
        <v>16.639499000000001</v>
      </c>
      <c r="BI71" s="260">
        <v>16.684434</v>
      </c>
      <c r="BJ71" s="260">
        <v>16.729226999999998</v>
      </c>
      <c r="BK71" s="260">
        <v>16.773878</v>
      </c>
      <c r="BL71" s="260">
        <v>16.818386</v>
      </c>
      <c r="BM71" s="260">
        <v>16.862749000000001</v>
      </c>
      <c r="BN71" s="260">
        <v>16.906967999999999</v>
      </c>
      <c r="BO71" s="260">
        <v>16.951039999999999</v>
      </c>
      <c r="BP71" s="260">
        <v>16.994965000000001</v>
      </c>
      <c r="BQ71" s="260">
        <v>17.038743</v>
      </c>
      <c r="BR71" s="260">
        <v>17.082370999999998</v>
      </c>
      <c r="BS71" s="260">
        <v>17.12585</v>
      </c>
      <c r="BT71" s="260">
        <v>17.169177999999999</v>
      </c>
      <c r="BU71" s="260">
        <v>17.212354999999999</v>
      </c>
      <c r="BV71" s="260">
        <v>17.255379999999999</v>
      </c>
      <c r="BW71" s="260">
        <v>17.298251999999998</v>
      </c>
      <c r="BX71" s="260">
        <v>17.340969999999999</v>
      </c>
      <c r="BY71" s="260">
        <v>17.383534000000001</v>
      </c>
      <c r="BZ71" s="260">
        <v>17.425943</v>
      </c>
      <c r="CA71" s="260">
        <v>17.468197</v>
      </c>
      <c r="CB71" s="260">
        <v>17.510293000000001</v>
      </c>
      <c r="CC71" s="260">
        <v>17.552232999999998</v>
      </c>
      <c r="CD71" s="260">
        <v>17.594014999999999</v>
      </c>
      <c r="CE71" s="260">
        <v>17.635638999999998</v>
      </c>
      <c r="CF71" s="260">
        <v>17.677102999999999</v>
      </c>
      <c r="CG71" s="260">
        <v>17.718408999999998</v>
      </c>
      <c r="CH71" s="260">
        <v>17.759553999999998</v>
      </c>
    </row>
    <row r="72" spans="1:86" x14ac:dyDescent="0.25">
      <c r="A72" s="170">
        <v>1</v>
      </c>
      <c r="B72" s="170">
        <v>71</v>
      </c>
      <c r="C72" s="259">
        <v>12.844277381896973</v>
      </c>
      <c r="D72" s="259">
        <v>12.90999698638916</v>
      </c>
      <c r="E72" s="259">
        <v>12.975350379943848</v>
      </c>
      <c r="F72" s="259">
        <v>13.040336608886719</v>
      </c>
      <c r="G72" s="259">
        <v>13.104955673217773</v>
      </c>
      <c r="H72" s="259">
        <v>13.169207572937012</v>
      </c>
      <c r="I72" s="260">
        <v>13.593807</v>
      </c>
      <c r="J72" s="260">
        <v>13.652343999999999</v>
      </c>
      <c r="K72" s="260">
        <v>13.709180999999999</v>
      </c>
      <c r="L72" s="260">
        <v>13.764491999999999</v>
      </c>
      <c r="M72" s="260">
        <v>13.818460999999999</v>
      </c>
      <c r="N72" s="260">
        <v>13.871274999999999</v>
      </c>
      <c r="O72" s="260">
        <v>13.923121999999999</v>
      </c>
      <c r="P72" s="260">
        <v>13.974179999999999</v>
      </c>
      <c r="Q72" s="260">
        <v>14.024619</v>
      </c>
      <c r="R72" s="260">
        <v>14.074591</v>
      </c>
      <c r="S72" s="260">
        <v>14.124229</v>
      </c>
      <c r="T72" s="260">
        <v>14.173639999999999</v>
      </c>
      <c r="U72" s="260">
        <v>14.222906999999999</v>
      </c>
      <c r="V72" s="260">
        <v>14.272077999999999</v>
      </c>
      <c r="W72" s="260">
        <v>14.321168999999999</v>
      </c>
      <c r="X72" s="260">
        <v>14.370178999999998</v>
      </c>
      <c r="Y72" s="260">
        <v>14.419105</v>
      </c>
      <c r="Z72" s="260">
        <v>14.467946</v>
      </c>
      <c r="AA72" s="260">
        <v>14.516700999999999</v>
      </c>
      <c r="AB72" s="260">
        <v>14.565365999999999</v>
      </c>
      <c r="AC72" s="260">
        <v>14.613942</v>
      </c>
      <c r="AD72" s="260">
        <v>14.662424999999999</v>
      </c>
      <c r="AE72" s="260">
        <v>14.710813999999999</v>
      </c>
      <c r="AF72" s="260">
        <v>14.759107999999999</v>
      </c>
      <c r="AG72" s="260">
        <v>14.807304999999999</v>
      </c>
      <c r="AH72" s="260">
        <v>14.855402</v>
      </c>
      <c r="AI72" s="260">
        <v>14.9034</v>
      </c>
      <c r="AJ72" s="260">
        <v>14.951295</v>
      </c>
      <c r="AK72" s="260">
        <v>14.999086999999999</v>
      </c>
      <c r="AL72" s="260">
        <v>15.046773</v>
      </c>
      <c r="AM72" s="260">
        <v>15.094351999999999</v>
      </c>
      <c r="AN72" s="260">
        <v>15.141822999999999</v>
      </c>
      <c r="AO72" s="260">
        <v>15.189183999999999</v>
      </c>
      <c r="AP72" s="260">
        <v>15.236433999999999</v>
      </c>
      <c r="AQ72" s="260">
        <v>15.283570999999998</v>
      </c>
      <c r="AR72" s="260">
        <v>15.330592999999999</v>
      </c>
      <c r="AS72" s="260">
        <v>15.3775</v>
      </c>
      <c r="AT72" s="260">
        <v>15.424289</v>
      </c>
      <c r="AU72" s="260">
        <v>15.470958999999999</v>
      </c>
      <c r="AV72" s="260">
        <v>15.51751</v>
      </c>
      <c r="AW72" s="260">
        <v>15.563939</v>
      </c>
      <c r="AX72" s="260">
        <v>15.610246</v>
      </c>
      <c r="AY72" s="260">
        <v>15.656428</v>
      </c>
      <c r="AZ72" s="260">
        <v>15.702484999999999</v>
      </c>
      <c r="BA72" s="260">
        <v>15.748415</v>
      </c>
      <c r="BB72" s="260">
        <v>15.794217999999999</v>
      </c>
      <c r="BC72" s="260">
        <v>15.839891</v>
      </c>
      <c r="BD72" s="260">
        <v>15.885434</v>
      </c>
      <c r="BE72" s="260">
        <v>15.930845</v>
      </c>
      <c r="BF72" s="260">
        <v>15.976123999999999</v>
      </c>
      <c r="BG72" s="260">
        <v>16.021269</v>
      </c>
      <c r="BH72" s="260">
        <v>16.066278000000001</v>
      </c>
      <c r="BI72" s="260">
        <v>16.111152000000001</v>
      </c>
      <c r="BJ72" s="260">
        <v>16.155888000000001</v>
      </c>
      <c r="BK72" s="260">
        <v>16.200485999999998</v>
      </c>
      <c r="BL72" s="260">
        <v>16.244944999999998</v>
      </c>
      <c r="BM72" s="260">
        <v>16.289262999999998</v>
      </c>
      <c r="BN72" s="260">
        <v>16.33344</v>
      </c>
      <c r="BO72" s="260">
        <v>16.377475</v>
      </c>
      <c r="BP72" s="260">
        <v>16.421365999999999</v>
      </c>
      <c r="BQ72" s="260">
        <v>16.465112999999999</v>
      </c>
      <c r="BR72" s="260">
        <v>16.508714999999999</v>
      </c>
      <c r="BS72" s="260">
        <v>16.552170999999998</v>
      </c>
      <c r="BT72" s="260">
        <v>16.595479999999998</v>
      </c>
      <c r="BU72" s="260">
        <v>16.638641</v>
      </c>
      <c r="BV72" s="260">
        <v>16.681653000000001</v>
      </c>
      <c r="BW72" s="260">
        <v>16.724515999999998</v>
      </c>
      <c r="BX72" s="260">
        <v>16.767229</v>
      </c>
      <c r="BY72" s="260">
        <v>16.809791000000001</v>
      </c>
      <c r="BZ72" s="260">
        <v>16.852201000000001</v>
      </c>
      <c r="CA72" s="260">
        <v>16.894458</v>
      </c>
      <c r="CB72" s="260">
        <v>16.936561999999999</v>
      </c>
      <c r="CC72" s="260">
        <v>16.978513</v>
      </c>
      <c r="CD72" s="260">
        <v>17.020308</v>
      </c>
      <c r="CE72" s="260">
        <v>17.061948999999998</v>
      </c>
      <c r="CF72" s="260">
        <v>17.103434</v>
      </c>
      <c r="CG72" s="260">
        <v>17.144762</v>
      </c>
      <c r="CH72" s="260">
        <v>17.185932999999999</v>
      </c>
    </row>
    <row r="73" spans="1:86" x14ac:dyDescent="0.25">
      <c r="A73" s="170">
        <v>1</v>
      </c>
      <c r="B73" s="170">
        <v>72</v>
      </c>
      <c r="C73" s="259">
        <v>12.284931182861328</v>
      </c>
      <c r="D73" s="259">
        <v>12.348563194274902</v>
      </c>
      <c r="E73" s="259">
        <v>12.411865234375</v>
      </c>
      <c r="F73" s="259">
        <v>12.474835395812988</v>
      </c>
      <c r="G73" s="259">
        <v>12.537471771240234</v>
      </c>
      <c r="H73" s="259">
        <v>12.599775314331055</v>
      </c>
      <c r="I73" s="260">
        <v>13.034965</v>
      </c>
      <c r="J73" s="260">
        <v>13.093169</v>
      </c>
      <c r="K73" s="260">
        <v>13.149687</v>
      </c>
      <c r="L73" s="260">
        <v>13.204682999999999</v>
      </c>
      <c r="M73" s="260">
        <v>13.258334999999999</v>
      </c>
      <c r="N73" s="260">
        <v>13.310827999999999</v>
      </c>
      <c r="O73" s="260">
        <v>13.362344</v>
      </c>
      <c r="P73" s="260">
        <v>13.413065</v>
      </c>
      <c r="Q73" s="260">
        <v>13.46316</v>
      </c>
      <c r="R73" s="260">
        <v>13.512782999999999</v>
      </c>
      <c r="S73" s="260">
        <v>13.562068999999999</v>
      </c>
      <c r="T73" s="260">
        <v>13.611129999999999</v>
      </c>
      <c r="U73" s="260">
        <v>13.660048</v>
      </c>
      <c r="V73" s="260">
        <v>13.708876</v>
      </c>
      <c r="W73" s="260">
        <v>13.757629999999999</v>
      </c>
      <c r="X73" s="260">
        <v>13.806308999999999</v>
      </c>
      <c r="Y73" s="260">
        <v>13.854909999999999</v>
      </c>
      <c r="Z73" s="260">
        <v>13.903431999999999</v>
      </c>
      <c r="AA73" s="260">
        <v>13.951872999999999</v>
      </c>
      <c r="AB73" s="260">
        <v>14.000230999999999</v>
      </c>
      <c r="AC73" s="260">
        <v>14.048503999999999</v>
      </c>
      <c r="AD73" s="260">
        <v>14.096689999999999</v>
      </c>
      <c r="AE73" s="260">
        <v>14.144788999999999</v>
      </c>
      <c r="AF73" s="260">
        <v>14.192796999999999</v>
      </c>
      <c r="AG73" s="260">
        <v>14.240713999999999</v>
      </c>
      <c r="AH73" s="260">
        <v>14.288537</v>
      </c>
      <c r="AI73" s="260">
        <v>14.336266</v>
      </c>
      <c r="AJ73" s="260">
        <v>14.383896999999999</v>
      </c>
      <c r="AK73" s="260">
        <v>14.431431</v>
      </c>
      <c r="AL73" s="260">
        <v>14.478864</v>
      </c>
      <c r="AM73" s="260">
        <v>14.526195999999999</v>
      </c>
      <c r="AN73" s="260">
        <v>14.573423999999999</v>
      </c>
      <c r="AO73" s="260">
        <v>14.620547999999999</v>
      </c>
      <c r="AP73" s="260">
        <v>14.667565</v>
      </c>
      <c r="AQ73" s="260">
        <v>14.714475</v>
      </c>
      <c r="AR73" s="260">
        <v>14.761274999999999</v>
      </c>
      <c r="AS73" s="260">
        <v>14.807964999999999</v>
      </c>
      <c r="AT73" s="260">
        <v>14.854541999999999</v>
      </c>
      <c r="AU73" s="260">
        <v>14.901005999999999</v>
      </c>
      <c r="AV73" s="260">
        <v>14.947353999999999</v>
      </c>
      <c r="AW73" s="260">
        <v>14.993585999999999</v>
      </c>
      <c r="AX73" s="260">
        <v>15.039698999999999</v>
      </c>
      <c r="AY73" s="260">
        <v>15.085694</v>
      </c>
      <c r="AZ73" s="260">
        <v>15.131568</v>
      </c>
      <c r="BA73" s="260">
        <v>15.17732</v>
      </c>
      <c r="BB73" s="260">
        <v>15.222947999999999</v>
      </c>
      <c r="BC73" s="260">
        <v>15.268452</v>
      </c>
      <c r="BD73" s="260">
        <v>15.313829999999999</v>
      </c>
      <c r="BE73" s="260">
        <v>15.359081999999999</v>
      </c>
      <c r="BF73" s="260">
        <v>15.404204</v>
      </c>
      <c r="BG73" s="260">
        <v>15.449197999999999</v>
      </c>
      <c r="BH73" s="260">
        <v>15.494060999999999</v>
      </c>
      <c r="BI73" s="260">
        <v>15.538791999999999</v>
      </c>
      <c r="BJ73" s="260">
        <v>15.58339</v>
      </c>
      <c r="BK73" s="260">
        <v>15.627853999999999</v>
      </c>
      <c r="BL73" s="260">
        <v>15.672181999999999</v>
      </c>
      <c r="BM73" s="260">
        <v>15.716374999999999</v>
      </c>
      <c r="BN73" s="260">
        <v>15.760429999999999</v>
      </c>
      <c r="BO73" s="260">
        <v>15.804347999999999</v>
      </c>
      <c r="BP73" s="260">
        <v>15.848125</v>
      </c>
      <c r="BQ73" s="260">
        <v>15.891762999999999</v>
      </c>
      <c r="BR73" s="260">
        <v>15.935258999999999</v>
      </c>
      <c r="BS73" s="260">
        <v>15.978613999999999</v>
      </c>
      <c r="BT73" s="260">
        <v>16.021825</v>
      </c>
      <c r="BU73" s="260">
        <v>16.064892</v>
      </c>
      <c r="BV73" s="260">
        <v>16.107813999999998</v>
      </c>
      <c r="BW73" s="260">
        <v>16.150590999999999</v>
      </c>
      <c r="BX73" s="260">
        <v>16.193220999999998</v>
      </c>
      <c r="BY73" s="260">
        <v>16.235703999999998</v>
      </c>
      <c r="BZ73" s="260">
        <v>16.278039</v>
      </c>
      <c r="CA73" s="260">
        <v>16.320225000000001</v>
      </c>
      <c r="CB73" s="260">
        <v>16.362261</v>
      </c>
      <c r="CC73" s="260">
        <v>16.404146999999998</v>
      </c>
      <c r="CD73" s="260">
        <v>16.445881</v>
      </c>
      <c r="CE73" s="260">
        <v>16.487463999999999</v>
      </c>
      <c r="CF73" s="260">
        <v>16.528894999999999</v>
      </c>
      <c r="CG73" s="260">
        <v>16.570171999999999</v>
      </c>
      <c r="CH73" s="260">
        <v>16.611295999999999</v>
      </c>
    </row>
    <row r="74" spans="1:86" x14ac:dyDescent="0.25">
      <c r="A74" s="170">
        <v>1</v>
      </c>
      <c r="B74" s="170">
        <v>73</v>
      </c>
      <c r="C74" s="259">
        <v>11.73283576965332</v>
      </c>
      <c r="D74" s="259">
        <v>11.79407787322998</v>
      </c>
      <c r="E74" s="259">
        <v>11.855027198791504</v>
      </c>
      <c r="F74" s="259">
        <v>11.915682792663574</v>
      </c>
      <c r="G74" s="259">
        <v>11.976044654846191</v>
      </c>
      <c r="H74" s="259">
        <v>12.036111831665039</v>
      </c>
      <c r="I74" s="260">
        <v>12.481048999999999</v>
      </c>
      <c r="J74" s="260">
        <v>12.538748</v>
      </c>
      <c r="K74" s="260">
        <v>12.594790999999999</v>
      </c>
      <c r="L74" s="260">
        <v>12.649334</v>
      </c>
      <c r="M74" s="260">
        <v>12.702544</v>
      </c>
      <c r="N74" s="260">
        <v>12.7546</v>
      </c>
      <c r="O74" s="260">
        <v>12.805681999999999</v>
      </c>
      <c r="P74" s="260">
        <v>12.855967</v>
      </c>
      <c r="Q74" s="260">
        <v>12.905624</v>
      </c>
      <c r="R74" s="260">
        <v>12.954808999999999</v>
      </c>
      <c r="S74" s="260">
        <v>13.003656999999999</v>
      </c>
      <c r="T74" s="260">
        <v>13.052282999999999</v>
      </c>
      <c r="U74" s="260">
        <v>13.100769999999999</v>
      </c>
      <c r="V74" s="260">
        <v>13.149172</v>
      </c>
      <c r="W74" s="260">
        <v>13.197505999999999</v>
      </c>
      <c r="X74" s="260">
        <v>13.245771</v>
      </c>
      <c r="Y74" s="260">
        <v>13.293963999999999</v>
      </c>
      <c r="Z74" s="260">
        <v>13.342084</v>
      </c>
      <c r="AA74" s="260">
        <v>13.390129</v>
      </c>
      <c r="AB74" s="260">
        <v>13.438096</v>
      </c>
      <c r="AC74" s="260">
        <v>13.485984999999999</v>
      </c>
      <c r="AD74" s="260">
        <v>13.533792999999999</v>
      </c>
      <c r="AE74" s="260">
        <v>13.581517999999999</v>
      </c>
      <c r="AF74" s="260">
        <v>13.629159</v>
      </c>
      <c r="AG74" s="260">
        <v>13.676713999999999</v>
      </c>
      <c r="AH74" s="260">
        <v>13.724181999999999</v>
      </c>
      <c r="AI74" s="260">
        <v>13.771559</v>
      </c>
      <c r="AJ74" s="260">
        <v>13.818845999999999</v>
      </c>
      <c r="AK74" s="260">
        <v>13.86604</v>
      </c>
      <c r="AL74" s="260">
        <v>13.913138999999999</v>
      </c>
      <c r="AM74" s="260">
        <v>13.960141999999999</v>
      </c>
      <c r="AN74" s="260">
        <v>14.007047</v>
      </c>
      <c r="AO74" s="260">
        <v>14.053853</v>
      </c>
      <c r="AP74" s="260">
        <v>14.100557999999999</v>
      </c>
      <c r="AQ74" s="260">
        <v>14.14716</v>
      </c>
      <c r="AR74" s="260">
        <v>14.193657999999999</v>
      </c>
      <c r="AS74" s="260">
        <v>14.240050999999999</v>
      </c>
      <c r="AT74" s="260">
        <v>14.286337</v>
      </c>
      <c r="AU74" s="260">
        <v>14.332512999999999</v>
      </c>
      <c r="AV74" s="260">
        <v>14.378579999999999</v>
      </c>
      <c r="AW74" s="260">
        <v>14.424534999999999</v>
      </c>
      <c r="AX74" s="260">
        <v>14.470378</v>
      </c>
      <c r="AY74" s="260">
        <v>14.516105999999999</v>
      </c>
      <c r="AZ74" s="260">
        <v>14.561717999999999</v>
      </c>
      <c r="BA74" s="260">
        <v>14.607213</v>
      </c>
      <c r="BB74" s="260">
        <v>14.652588999999999</v>
      </c>
      <c r="BC74" s="260">
        <v>14.697846</v>
      </c>
      <c r="BD74" s="260">
        <v>14.742982</v>
      </c>
      <c r="BE74" s="260">
        <v>14.787996</v>
      </c>
      <c r="BF74" s="260">
        <v>14.832885999999998</v>
      </c>
      <c r="BG74" s="260">
        <v>14.877651</v>
      </c>
      <c r="BH74" s="260">
        <v>14.922289999999998</v>
      </c>
      <c r="BI74" s="260">
        <v>14.966800999999998</v>
      </c>
      <c r="BJ74" s="260">
        <v>15.011184999999999</v>
      </c>
      <c r="BK74" s="260">
        <v>15.055439</v>
      </c>
      <c r="BL74" s="260">
        <v>15.099561999999999</v>
      </c>
      <c r="BM74" s="260">
        <v>15.143552999999999</v>
      </c>
      <c r="BN74" s="260">
        <v>15.187412</v>
      </c>
      <c r="BO74" s="260">
        <v>15.231135999999999</v>
      </c>
      <c r="BP74" s="260">
        <v>15.274725999999999</v>
      </c>
      <c r="BQ74" s="260">
        <v>15.31818</v>
      </c>
      <c r="BR74" s="260">
        <v>15.361495999999999</v>
      </c>
      <c r="BS74" s="260">
        <v>15.404674999999999</v>
      </c>
      <c r="BT74" s="260">
        <v>15.447714999999999</v>
      </c>
      <c r="BU74" s="260">
        <v>15.490615</v>
      </c>
      <c r="BV74" s="260">
        <v>15.533373999999998</v>
      </c>
      <c r="BW74" s="260">
        <v>15.575991999999999</v>
      </c>
      <c r="BX74" s="260">
        <v>15.618466999999999</v>
      </c>
      <c r="BY74" s="260">
        <v>15.660798</v>
      </c>
      <c r="BZ74" s="260">
        <v>15.702985999999999</v>
      </c>
      <c r="CA74" s="260">
        <v>15.745028</v>
      </c>
      <c r="CB74" s="260">
        <v>15.786925</v>
      </c>
      <c r="CC74" s="260">
        <v>15.828674999999999</v>
      </c>
      <c r="CD74" s="260">
        <v>15.870277999999999</v>
      </c>
      <c r="CE74" s="260">
        <v>15.911733</v>
      </c>
      <c r="CF74" s="260">
        <v>15.953038999999999</v>
      </c>
      <c r="CG74" s="260">
        <v>15.994195999999999</v>
      </c>
      <c r="CH74" s="260">
        <v>16.035201999999998</v>
      </c>
    </row>
    <row r="75" spans="1:86" x14ac:dyDescent="0.25">
      <c r="A75" s="170">
        <v>1</v>
      </c>
      <c r="B75" s="170">
        <v>74</v>
      </c>
      <c r="C75" s="259">
        <v>11.189440727233887</v>
      </c>
      <c r="D75" s="259">
        <v>11.247956275939941</v>
      </c>
      <c r="E75" s="259">
        <v>11.306221961975098</v>
      </c>
      <c r="F75" s="259">
        <v>11.364236831665039</v>
      </c>
      <c r="G75" s="259">
        <v>11.422001838684082</v>
      </c>
      <c r="H75" s="259">
        <v>11.479513168334961</v>
      </c>
      <c r="I75" s="260">
        <v>11.93127</v>
      </c>
      <c r="J75" s="260">
        <v>11.988301999999999</v>
      </c>
      <c r="K75" s="260">
        <v>12.043728</v>
      </c>
      <c r="L75" s="260">
        <v>12.097688999999999</v>
      </c>
      <c r="M75" s="260">
        <v>12.150342</v>
      </c>
      <c r="N75" s="260">
        <v>12.201858</v>
      </c>
      <c r="O75" s="260">
        <v>12.252409</v>
      </c>
      <c r="P75" s="260">
        <v>12.302168999999999</v>
      </c>
      <c r="Q75" s="260">
        <v>12.351305</v>
      </c>
      <c r="R75" s="260">
        <v>12.399970999999999</v>
      </c>
      <c r="S75" s="260">
        <v>12.448304</v>
      </c>
      <c r="T75" s="260">
        <v>12.496418</v>
      </c>
      <c r="U75" s="260">
        <v>12.544397999999999</v>
      </c>
      <c r="V75" s="260">
        <v>12.592298999999999</v>
      </c>
      <c r="W75" s="260">
        <v>12.640136999999999</v>
      </c>
      <c r="X75" s="260">
        <v>12.687913</v>
      </c>
      <c r="Y75" s="260">
        <v>12.735622999999999</v>
      </c>
      <c r="Z75" s="260">
        <v>12.783265</v>
      </c>
      <c r="AA75" s="260">
        <v>12.830838</v>
      </c>
      <c r="AB75" s="260">
        <v>12.878338999999999</v>
      </c>
      <c r="AC75" s="260">
        <v>12.925768</v>
      </c>
      <c r="AD75" s="260">
        <v>12.973122</v>
      </c>
      <c r="AE75" s="260">
        <v>13.020398</v>
      </c>
      <c r="AF75" s="260">
        <v>13.067596999999999</v>
      </c>
      <c r="AG75" s="260">
        <v>13.114714999999999</v>
      </c>
      <c r="AH75" s="260">
        <v>13.161750999999999</v>
      </c>
      <c r="AI75" s="260">
        <v>13.208703</v>
      </c>
      <c r="AJ75" s="260">
        <v>13.255568999999999</v>
      </c>
      <c r="AK75" s="260">
        <v>13.302348</v>
      </c>
      <c r="AL75" s="260">
        <v>13.349038999999999</v>
      </c>
      <c r="AM75" s="260">
        <v>13.395638</v>
      </c>
      <c r="AN75" s="260">
        <v>13.442145</v>
      </c>
      <c r="AO75" s="260">
        <v>13.488557999999999</v>
      </c>
      <c r="AP75" s="260">
        <v>13.534875999999999</v>
      </c>
      <c r="AQ75" s="260">
        <v>13.581097</v>
      </c>
      <c r="AR75" s="260">
        <v>13.627217999999999</v>
      </c>
      <c r="AS75" s="260">
        <v>13.673238999999999</v>
      </c>
      <c r="AT75" s="260">
        <v>13.719158999999999</v>
      </c>
      <c r="AU75" s="260">
        <v>13.764975</v>
      </c>
      <c r="AV75" s="260">
        <v>13.810685999999999</v>
      </c>
      <c r="AW75" s="260">
        <v>13.856290999999999</v>
      </c>
      <c r="AX75" s="260">
        <v>13.901788</v>
      </c>
      <c r="AY75" s="260">
        <v>13.947175999999999</v>
      </c>
      <c r="AZ75" s="260">
        <v>13.992452999999999</v>
      </c>
      <c r="BA75" s="260">
        <v>14.037618</v>
      </c>
      <c r="BB75" s="260">
        <v>14.082668999999999</v>
      </c>
      <c r="BC75" s="260">
        <v>14.127606</v>
      </c>
      <c r="BD75" s="260">
        <v>14.172426</v>
      </c>
      <c r="BE75" s="260">
        <v>14.217129999999999</v>
      </c>
      <c r="BF75" s="260">
        <v>14.261714</v>
      </c>
      <c r="BG75" s="260">
        <v>14.306177999999999</v>
      </c>
      <c r="BH75" s="260">
        <v>14.350520999999999</v>
      </c>
      <c r="BI75" s="260">
        <v>14.394741999999999</v>
      </c>
      <c r="BJ75" s="260">
        <v>14.438839</v>
      </c>
      <c r="BK75" s="260">
        <v>14.482811</v>
      </c>
      <c r="BL75" s="260">
        <v>14.526657</v>
      </c>
      <c r="BM75" s="260">
        <v>14.570376</v>
      </c>
      <c r="BN75" s="260">
        <v>14.613966</v>
      </c>
      <c r="BO75" s="260">
        <v>14.657427</v>
      </c>
      <c r="BP75" s="260">
        <v>14.700757999999999</v>
      </c>
      <c r="BQ75" s="260">
        <v>14.743957</v>
      </c>
      <c r="BR75" s="260">
        <v>14.787023999999999</v>
      </c>
      <c r="BS75" s="260">
        <v>14.829956999999999</v>
      </c>
      <c r="BT75" s="260">
        <v>14.872755999999999</v>
      </c>
      <c r="BU75" s="260">
        <v>14.915419</v>
      </c>
      <c r="BV75" s="260">
        <v>14.957944999999999</v>
      </c>
      <c r="BW75" s="260">
        <v>15.000333999999999</v>
      </c>
      <c r="BX75" s="260">
        <v>15.042584999999999</v>
      </c>
      <c r="BY75" s="260">
        <v>15.084696999999998</v>
      </c>
      <c r="BZ75" s="260">
        <v>15.126669</v>
      </c>
      <c r="CA75" s="260">
        <v>15.168498999999999</v>
      </c>
      <c r="CB75" s="260">
        <v>15.210187999999999</v>
      </c>
      <c r="CC75" s="260">
        <v>15.251735</v>
      </c>
      <c r="CD75" s="260">
        <v>15.293137999999999</v>
      </c>
      <c r="CE75" s="260">
        <v>15.334396999999999</v>
      </c>
      <c r="CF75" s="260">
        <v>15.375511999999999</v>
      </c>
      <c r="CG75" s="260">
        <v>15.416480999999999</v>
      </c>
      <c r="CH75" s="260">
        <v>15.457303999999999</v>
      </c>
    </row>
    <row r="76" spans="1:86" x14ac:dyDescent="0.25">
      <c r="A76" s="170">
        <v>1</v>
      </c>
      <c r="B76" s="170">
        <v>75</v>
      </c>
      <c r="C76" s="259">
        <v>10.65616512298584</v>
      </c>
      <c r="D76" s="259">
        <v>10.711581230163574</v>
      </c>
      <c r="E76" s="259">
        <v>10.76679801940918</v>
      </c>
      <c r="F76" s="259">
        <v>10.821811676025391</v>
      </c>
      <c r="G76" s="259">
        <v>10.87662410736084</v>
      </c>
      <c r="H76" s="259">
        <v>10.931229591369629</v>
      </c>
      <c r="I76" s="260">
        <v>11.385342999999999</v>
      </c>
      <c r="J76" s="260">
        <v>11.441552999999999</v>
      </c>
      <c r="K76" s="260">
        <v>11.496222999999999</v>
      </c>
      <c r="L76" s="260">
        <v>11.549479999999999</v>
      </c>
      <c r="M76" s="260">
        <v>11.601467999999999</v>
      </c>
      <c r="N76" s="260">
        <v>11.652344999999999</v>
      </c>
      <c r="O76" s="260">
        <v>11.702275999999999</v>
      </c>
      <c r="P76" s="260">
        <v>11.751429</v>
      </c>
      <c r="Q76" s="260">
        <v>11.799966</v>
      </c>
      <c r="R76" s="260">
        <v>11.848039</v>
      </c>
      <c r="S76" s="260">
        <v>11.895783999999999</v>
      </c>
      <c r="T76" s="260">
        <v>11.943313999999999</v>
      </c>
      <c r="U76" s="260">
        <v>11.990715999999999</v>
      </c>
      <c r="V76" s="260">
        <v>12.038043999999999</v>
      </c>
      <c r="W76" s="260">
        <v>12.085317</v>
      </c>
      <c r="X76" s="260">
        <v>12.132531</v>
      </c>
      <c r="Y76" s="260">
        <v>12.179686</v>
      </c>
      <c r="Z76" s="260">
        <v>12.22678</v>
      </c>
      <c r="AA76" s="260">
        <v>12.273809999999999</v>
      </c>
      <c r="AB76" s="260">
        <v>12.320774</v>
      </c>
      <c r="AC76" s="260">
        <v>12.367671</v>
      </c>
      <c r="AD76" s="260">
        <v>12.4145</v>
      </c>
      <c r="AE76" s="260">
        <v>12.461257</v>
      </c>
      <c r="AF76" s="260">
        <v>12.507940999999999</v>
      </c>
      <c r="AG76" s="260">
        <v>12.554549999999999</v>
      </c>
      <c r="AH76" s="260">
        <v>12.601082999999999</v>
      </c>
      <c r="AI76" s="260">
        <v>12.647537999999999</v>
      </c>
      <c r="AJ76" s="260">
        <v>12.693913</v>
      </c>
      <c r="AK76" s="260">
        <v>12.740205999999999</v>
      </c>
      <c r="AL76" s="260">
        <v>12.786415999999999</v>
      </c>
      <c r="AM76" s="260">
        <v>12.83254</v>
      </c>
      <c r="AN76" s="260">
        <v>12.878577999999999</v>
      </c>
      <c r="AO76" s="260">
        <v>12.924526999999999</v>
      </c>
      <c r="AP76" s="260">
        <v>12.970386</v>
      </c>
      <c r="AQ76" s="260">
        <v>13.016152999999999</v>
      </c>
      <c r="AR76" s="260">
        <v>13.061826</v>
      </c>
      <c r="AS76" s="260">
        <v>13.107405</v>
      </c>
      <c r="AT76" s="260">
        <v>13.152887</v>
      </c>
      <c r="AU76" s="260">
        <v>13.198271</v>
      </c>
      <c r="AV76" s="260">
        <v>13.243556</v>
      </c>
      <c r="AW76" s="260">
        <v>13.288739</v>
      </c>
      <c r="AX76" s="260">
        <v>13.333819999999999</v>
      </c>
      <c r="AY76" s="260">
        <v>13.378795999999999</v>
      </c>
      <c r="AZ76" s="260">
        <v>13.423667</v>
      </c>
      <c r="BA76" s="260">
        <v>13.468430999999999</v>
      </c>
      <c r="BB76" s="260">
        <v>13.513086999999999</v>
      </c>
      <c r="BC76" s="260">
        <v>13.557632999999999</v>
      </c>
      <c r="BD76" s="260">
        <v>13.602067</v>
      </c>
      <c r="BE76" s="260">
        <v>13.64639</v>
      </c>
      <c r="BF76" s="260">
        <v>13.690598</v>
      </c>
      <c r="BG76" s="260">
        <v>13.734691</v>
      </c>
      <c r="BH76" s="260">
        <v>13.778668</v>
      </c>
      <c r="BI76" s="260">
        <v>13.822528</v>
      </c>
      <c r="BJ76" s="260">
        <v>13.866268</v>
      </c>
      <c r="BK76" s="260">
        <v>13.909889</v>
      </c>
      <c r="BL76" s="260">
        <v>13.953387999999999</v>
      </c>
      <c r="BM76" s="260">
        <v>13.996765</v>
      </c>
      <c r="BN76" s="260">
        <v>14.040018</v>
      </c>
      <c r="BO76" s="260">
        <v>14.083145999999999</v>
      </c>
      <c r="BP76" s="260">
        <v>14.126149</v>
      </c>
      <c r="BQ76" s="260">
        <v>14.169025</v>
      </c>
      <c r="BR76" s="260">
        <v>14.211772999999999</v>
      </c>
      <c r="BS76" s="260">
        <v>14.254391</v>
      </c>
      <c r="BT76" s="260">
        <v>14.29688</v>
      </c>
      <c r="BU76" s="260">
        <v>14.339238</v>
      </c>
      <c r="BV76" s="260">
        <v>14.381463999999999</v>
      </c>
      <c r="BW76" s="260">
        <v>14.423556999999999</v>
      </c>
      <c r="BX76" s="260">
        <v>14.465515999999999</v>
      </c>
      <c r="BY76" s="260">
        <v>14.507339999999999</v>
      </c>
      <c r="BZ76" s="260">
        <v>14.549028</v>
      </c>
      <c r="CA76" s="260">
        <v>14.590579999999999</v>
      </c>
      <c r="CB76" s="260">
        <v>14.631993999999999</v>
      </c>
      <c r="CC76" s="260">
        <v>14.673271</v>
      </c>
      <c r="CD76" s="260">
        <v>14.714407999999999</v>
      </c>
      <c r="CE76" s="260">
        <v>14.755405</v>
      </c>
      <c r="CF76" s="260">
        <v>14.796261999999999</v>
      </c>
      <c r="CG76" s="260">
        <v>14.836976999999999</v>
      </c>
      <c r="CH76" s="260">
        <v>14.877549999999999</v>
      </c>
    </row>
    <row r="77" spans="1:86" x14ac:dyDescent="0.25">
      <c r="A77" s="170">
        <v>1</v>
      </c>
      <c r="B77" s="170">
        <v>76</v>
      </c>
      <c r="C77" s="259">
        <v>10.14315128326416</v>
      </c>
      <c r="D77" s="259">
        <v>10.196446418762207</v>
      </c>
      <c r="E77" s="259">
        <v>10.249561309814453</v>
      </c>
      <c r="F77" s="259">
        <v>10.302492141723633</v>
      </c>
      <c r="G77" s="259">
        <v>10.35523796081543</v>
      </c>
      <c r="H77" s="259">
        <v>10.407797813415527</v>
      </c>
      <c r="I77" s="260">
        <v>10.843712999999999</v>
      </c>
      <c r="J77" s="260">
        <v>10.898942999999999</v>
      </c>
      <c r="K77" s="260">
        <v>10.952719</v>
      </c>
      <c r="L77" s="260">
        <v>11.005148999999999</v>
      </c>
      <c r="M77" s="260">
        <v>11.056362</v>
      </c>
      <c r="N77" s="260">
        <v>11.106501999999999</v>
      </c>
      <c r="O77" s="260">
        <v>11.155725</v>
      </c>
      <c r="P77" s="260">
        <v>11.204189</v>
      </c>
      <c r="Q77" s="260">
        <v>11.252051</v>
      </c>
      <c r="R77" s="260">
        <v>11.299457</v>
      </c>
      <c r="S77" s="260">
        <v>11.346542999999999</v>
      </c>
      <c r="T77" s="260">
        <v>11.393419</v>
      </c>
      <c r="U77" s="260">
        <v>11.440173</v>
      </c>
      <c r="V77" s="260">
        <v>11.486858999999999</v>
      </c>
      <c r="W77" s="260">
        <v>11.533495</v>
      </c>
      <c r="X77" s="260">
        <v>11.580079</v>
      </c>
      <c r="Y77" s="260">
        <v>11.626607999999999</v>
      </c>
      <c r="Z77" s="260">
        <v>11.673083</v>
      </c>
      <c r="AA77" s="260">
        <v>11.719498999999999</v>
      </c>
      <c r="AB77" s="260">
        <v>11.765855</v>
      </c>
      <c r="AC77" s="260">
        <v>11.812149999999999</v>
      </c>
      <c r="AD77" s="260">
        <v>11.858381</v>
      </c>
      <c r="AE77" s="260">
        <v>11.904546999999999</v>
      </c>
      <c r="AF77" s="260">
        <v>11.950645999999999</v>
      </c>
      <c r="AG77" s="260">
        <v>11.996675999999999</v>
      </c>
      <c r="AH77" s="260">
        <v>12.042634</v>
      </c>
      <c r="AI77" s="260">
        <v>12.088519999999999</v>
      </c>
      <c r="AJ77" s="260">
        <v>12.134331999999999</v>
      </c>
      <c r="AK77" s="260">
        <v>12.180066999999999</v>
      </c>
      <c r="AL77" s="260">
        <v>12.225724</v>
      </c>
      <c r="AM77" s="260">
        <v>12.271301999999999</v>
      </c>
      <c r="AN77" s="260">
        <v>12.316797999999999</v>
      </c>
      <c r="AO77" s="260">
        <v>12.362211</v>
      </c>
      <c r="AP77" s="260">
        <v>12.407539999999999</v>
      </c>
      <c r="AQ77" s="260">
        <v>12.452781</v>
      </c>
      <c r="AR77" s="260">
        <v>12.497935</v>
      </c>
      <c r="AS77" s="260">
        <v>12.542999</v>
      </c>
      <c r="AT77" s="260">
        <v>12.587971999999999</v>
      </c>
      <c r="AU77" s="260">
        <v>12.632852</v>
      </c>
      <c r="AV77" s="260">
        <v>12.677638</v>
      </c>
      <c r="AW77" s="260">
        <v>12.722327999999999</v>
      </c>
      <c r="AX77" s="260">
        <v>12.766919999999999</v>
      </c>
      <c r="AY77" s="260">
        <v>12.811413</v>
      </c>
      <c r="AZ77" s="260">
        <v>12.855805999999999</v>
      </c>
      <c r="BA77" s="260">
        <v>12.900096999999999</v>
      </c>
      <c r="BB77" s="260">
        <v>12.944284999999999</v>
      </c>
      <c r="BC77" s="260">
        <v>12.988368999999999</v>
      </c>
      <c r="BD77" s="260">
        <v>13.032345999999999</v>
      </c>
      <c r="BE77" s="260">
        <v>13.076214999999999</v>
      </c>
      <c r="BF77" s="260">
        <v>13.119975999999999</v>
      </c>
      <c r="BG77" s="260">
        <v>13.163627</v>
      </c>
      <c r="BH77" s="260">
        <v>13.207165999999999</v>
      </c>
      <c r="BI77" s="260">
        <v>13.250593</v>
      </c>
      <c r="BJ77" s="260">
        <v>13.293906</v>
      </c>
      <c r="BK77" s="260">
        <v>13.337102999999999</v>
      </c>
      <c r="BL77" s="260">
        <v>13.380184999999999</v>
      </c>
      <c r="BM77" s="260">
        <v>13.423147999999999</v>
      </c>
      <c r="BN77" s="260">
        <v>13.465992999999999</v>
      </c>
      <c r="BO77" s="260">
        <v>13.508718</v>
      </c>
      <c r="BP77" s="260">
        <v>13.551321999999999</v>
      </c>
      <c r="BQ77" s="260">
        <v>13.593803999999999</v>
      </c>
      <c r="BR77" s="260">
        <v>13.636161999999999</v>
      </c>
      <c r="BS77" s="260">
        <v>13.678395999999999</v>
      </c>
      <c r="BT77" s="260">
        <v>13.720504999999999</v>
      </c>
      <c r="BU77" s="260">
        <v>13.762487</v>
      </c>
      <c r="BV77" s="260">
        <v>13.804342</v>
      </c>
      <c r="BW77" s="260">
        <v>13.846069</v>
      </c>
      <c r="BX77" s="260">
        <v>13.887665999999999</v>
      </c>
      <c r="BY77" s="260">
        <v>13.929133</v>
      </c>
      <c r="BZ77" s="260">
        <v>13.970469</v>
      </c>
      <c r="CA77" s="260">
        <v>14.011673</v>
      </c>
      <c r="CB77" s="260">
        <v>14.052743</v>
      </c>
      <c r="CC77" s="260">
        <v>14.093679999999999</v>
      </c>
      <c r="CD77" s="260">
        <v>14.134482999999999</v>
      </c>
      <c r="CE77" s="260">
        <v>14.175148999999999</v>
      </c>
      <c r="CF77" s="260">
        <v>14.215679999999999</v>
      </c>
      <c r="CG77" s="260">
        <v>14.256072999999999</v>
      </c>
      <c r="CH77" s="260">
        <v>14.296329</v>
      </c>
    </row>
    <row r="78" spans="1:86" x14ac:dyDescent="0.25">
      <c r="A78" s="170">
        <v>1</v>
      </c>
      <c r="B78" s="170">
        <v>77</v>
      </c>
      <c r="C78" s="259">
        <v>9.6412477493286133</v>
      </c>
      <c r="D78" s="259">
        <v>9.692173957824707</v>
      </c>
      <c r="E78" s="259">
        <v>9.7429389953613281</v>
      </c>
      <c r="F78" s="259">
        <v>9.7935409545898438</v>
      </c>
      <c r="G78" s="259">
        <v>9.8439788818359375</v>
      </c>
      <c r="H78" s="259">
        <v>9.8942499160766602</v>
      </c>
      <c r="I78" s="260">
        <v>10.307701999999999</v>
      </c>
      <c r="J78" s="260">
        <v>10.361789999999999</v>
      </c>
      <c r="K78" s="260">
        <v>10.414524</v>
      </c>
      <c r="L78" s="260">
        <v>10.465994999999999</v>
      </c>
      <c r="M78" s="260">
        <v>10.516316</v>
      </c>
      <c r="N78" s="260">
        <v>10.565616</v>
      </c>
      <c r="O78" s="260">
        <v>10.614035999999999</v>
      </c>
      <c r="P78" s="260">
        <v>10.661726</v>
      </c>
      <c r="Q78" s="260">
        <v>10.708831</v>
      </c>
      <c r="R78" s="260">
        <v>10.755493999999999</v>
      </c>
      <c r="S78" s="260">
        <v>10.801845</v>
      </c>
      <c r="T78" s="260">
        <v>10.847992999999999</v>
      </c>
      <c r="U78" s="260">
        <v>10.894026</v>
      </c>
      <c r="V78" s="260">
        <v>10.939995</v>
      </c>
      <c r="W78" s="260">
        <v>10.985920999999999</v>
      </c>
      <c r="X78" s="260">
        <v>11.031799999999999</v>
      </c>
      <c r="Y78" s="260">
        <v>11.077629999999999</v>
      </c>
      <c r="Z78" s="260">
        <v>11.12341</v>
      </c>
      <c r="AA78" s="260">
        <v>11.169138</v>
      </c>
      <c r="AB78" s="260">
        <v>11.214812</v>
      </c>
      <c r="AC78" s="260">
        <v>11.260429</v>
      </c>
      <c r="AD78" s="260">
        <v>11.305987999999999</v>
      </c>
      <c r="AE78" s="260">
        <v>11.351488</v>
      </c>
      <c r="AF78" s="260">
        <v>11.396925999999999</v>
      </c>
      <c r="AG78" s="260">
        <v>11.442299999999999</v>
      </c>
      <c r="AH78" s="260">
        <v>11.487608</v>
      </c>
      <c r="AI78" s="260">
        <v>11.532848999999999</v>
      </c>
      <c r="AJ78" s="260">
        <v>11.578021</v>
      </c>
      <c r="AK78" s="260">
        <v>11.623123</v>
      </c>
      <c r="AL78" s="260">
        <v>11.668151</v>
      </c>
      <c r="AM78" s="260">
        <v>11.713106</v>
      </c>
      <c r="AN78" s="260">
        <v>11.757983999999999</v>
      </c>
      <c r="AO78" s="260">
        <v>11.802783999999999</v>
      </c>
      <c r="AP78" s="260">
        <v>11.847505</v>
      </c>
      <c r="AQ78" s="260">
        <v>11.892144999999999</v>
      </c>
      <c r="AR78" s="260">
        <v>11.936701999999999</v>
      </c>
      <c r="AS78" s="260">
        <v>11.981174999999999</v>
      </c>
      <c r="AT78" s="260">
        <v>12.025561999999999</v>
      </c>
      <c r="AU78" s="260">
        <v>12.069861</v>
      </c>
      <c r="AV78" s="260">
        <v>12.11407</v>
      </c>
      <c r="AW78" s="260">
        <v>12.158189999999999</v>
      </c>
      <c r="AX78" s="260">
        <v>12.202216</v>
      </c>
      <c r="AY78" s="260">
        <v>12.246148999999999</v>
      </c>
      <c r="AZ78" s="260">
        <v>12.289987</v>
      </c>
      <c r="BA78" s="260">
        <v>12.333727999999999</v>
      </c>
      <c r="BB78" s="260">
        <v>12.377371</v>
      </c>
      <c r="BC78" s="260">
        <v>12.420914999999999</v>
      </c>
      <c r="BD78" s="260">
        <v>12.464357</v>
      </c>
      <c r="BE78" s="260">
        <v>12.507697</v>
      </c>
      <c r="BF78" s="260">
        <v>12.550932999999999</v>
      </c>
      <c r="BG78" s="260">
        <v>12.594063999999999</v>
      </c>
      <c r="BH78" s="260">
        <v>12.637089</v>
      </c>
      <c r="BI78" s="260">
        <v>12.680005999999999</v>
      </c>
      <c r="BJ78" s="260">
        <v>12.722814</v>
      </c>
      <c r="BK78" s="260">
        <v>12.765511999999999</v>
      </c>
      <c r="BL78" s="260">
        <v>12.808098999999999</v>
      </c>
      <c r="BM78" s="260">
        <v>12.850572</v>
      </c>
      <c r="BN78" s="260">
        <v>12.892932</v>
      </c>
      <c r="BO78" s="260">
        <v>12.935176999999999</v>
      </c>
      <c r="BP78" s="260">
        <v>12.977304999999999</v>
      </c>
      <c r="BQ78" s="260">
        <v>13.019316999999999</v>
      </c>
      <c r="BR78" s="260">
        <v>13.061209</v>
      </c>
      <c r="BS78" s="260">
        <v>13.102983</v>
      </c>
      <c r="BT78" s="260">
        <v>13.144634999999999</v>
      </c>
      <c r="BU78" s="260">
        <v>13.186166</v>
      </c>
      <c r="BV78" s="260">
        <v>13.227575</v>
      </c>
      <c r="BW78" s="260">
        <v>13.268858999999999</v>
      </c>
      <c r="BX78" s="260">
        <v>13.310018999999999</v>
      </c>
      <c r="BY78" s="260">
        <v>13.351054</v>
      </c>
      <c r="BZ78" s="260">
        <v>13.391961</v>
      </c>
      <c r="CA78" s="260">
        <v>13.432741999999999</v>
      </c>
      <c r="CB78" s="260">
        <v>13.473393999999999</v>
      </c>
      <c r="CC78" s="260">
        <v>13.513916999999999</v>
      </c>
      <c r="CD78" s="260">
        <v>13.554309</v>
      </c>
      <c r="CE78" s="260">
        <v>13.594571</v>
      </c>
      <c r="CF78" s="260">
        <v>13.634701</v>
      </c>
      <c r="CG78" s="260">
        <v>13.674697999999999</v>
      </c>
      <c r="CH78" s="260">
        <v>13.714561999999999</v>
      </c>
    </row>
    <row r="79" spans="1:86" x14ac:dyDescent="0.25">
      <c r="A79" s="170">
        <v>1</v>
      </c>
      <c r="B79" s="170">
        <v>78</v>
      </c>
      <c r="C79" s="259">
        <v>9.1502265930175781</v>
      </c>
      <c r="D79" s="259">
        <v>9.1985254287719727</v>
      </c>
      <c r="E79" s="259">
        <v>9.2466840744018555</v>
      </c>
      <c r="F79" s="259">
        <v>9.2947015762329102</v>
      </c>
      <c r="G79" s="259">
        <v>9.3425779342651367</v>
      </c>
      <c r="H79" s="259">
        <v>9.3903112411499023</v>
      </c>
      <c r="I79" s="260">
        <v>9.7794489999999996</v>
      </c>
      <c r="J79" s="260">
        <v>9.832217</v>
      </c>
      <c r="K79" s="260">
        <v>9.8837479999999989</v>
      </c>
      <c r="L79" s="260">
        <v>9.9341159999999995</v>
      </c>
      <c r="M79" s="260">
        <v>9.983414999999999</v>
      </c>
      <c r="N79" s="260">
        <v>10.031758</v>
      </c>
      <c r="O79" s="260">
        <v>10.079269999999999</v>
      </c>
      <c r="P79" s="260">
        <v>10.126087</v>
      </c>
      <c r="Q79" s="260">
        <v>10.172345999999999</v>
      </c>
      <c r="R79" s="260">
        <v>10.218181</v>
      </c>
      <c r="S79" s="260">
        <v>10.263714999999999</v>
      </c>
      <c r="T79" s="260">
        <v>10.309054999999999</v>
      </c>
      <c r="U79" s="260">
        <v>10.354284</v>
      </c>
      <c r="V79" s="260">
        <v>10.399455999999999</v>
      </c>
      <c r="W79" s="260">
        <v>10.444588999999999</v>
      </c>
      <c r="X79" s="260">
        <v>10.489682</v>
      </c>
      <c r="Y79" s="260">
        <v>10.534730999999999</v>
      </c>
      <c r="Z79" s="260">
        <v>10.579734</v>
      </c>
      <c r="AA79" s="260">
        <v>10.624691</v>
      </c>
      <c r="AB79" s="260">
        <v>10.669599</v>
      </c>
      <c r="AC79" s="260">
        <v>10.714456</v>
      </c>
      <c r="AD79" s="260">
        <v>10.759259999999999</v>
      </c>
      <c r="AE79" s="260">
        <v>10.804008999999999</v>
      </c>
      <c r="AF79" s="260">
        <v>10.848701999999999</v>
      </c>
      <c r="AG79" s="260">
        <v>10.893336999999999</v>
      </c>
      <c r="AH79" s="260">
        <v>10.937911</v>
      </c>
      <c r="AI79" s="260">
        <v>10.982422999999999</v>
      </c>
      <c r="AJ79" s="260">
        <v>11.026871</v>
      </c>
      <c r="AK79" s="260">
        <v>11.071254</v>
      </c>
      <c r="AL79" s="260">
        <v>11.115568999999999</v>
      </c>
      <c r="AM79" s="260">
        <v>11.159815</v>
      </c>
      <c r="AN79" s="260">
        <v>11.203989999999999</v>
      </c>
      <c r="AO79" s="260">
        <v>11.248092999999999</v>
      </c>
      <c r="AP79" s="260">
        <v>11.292121</v>
      </c>
      <c r="AQ79" s="260">
        <v>11.336072999999999</v>
      </c>
      <c r="AR79" s="260">
        <v>11.379947999999999</v>
      </c>
      <c r="AS79" s="260">
        <v>11.423743</v>
      </c>
      <c r="AT79" s="260">
        <v>11.467457999999999</v>
      </c>
      <c r="AU79" s="260">
        <v>11.511089999999999</v>
      </c>
      <c r="AV79" s="260">
        <v>11.554637999999999</v>
      </c>
      <c r="AW79" s="260">
        <v>11.598099999999999</v>
      </c>
      <c r="AX79" s="260">
        <v>11.641475999999999</v>
      </c>
      <c r="AY79" s="260">
        <v>11.684761999999999</v>
      </c>
      <c r="AZ79" s="260">
        <v>11.727959</v>
      </c>
      <c r="BA79" s="260">
        <v>11.771063999999999</v>
      </c>
      <c r="BB79" s="260">
        <v>11.814076</v>
      </c>
      <c r="BC79" s="260">
        <v>11.856992999999999</v>
      </c>
      <c r="BD79" s="260">
        <v>11.899813999999999</v>
      </c>
      <c r="BE79" s="260">
        <v>11.942537999999999</v>
      </c>
      <c r="BF79" s="260">
        <v>11.985163</v>
      </c>
      <c r="BG79" s="260">
        <v>12.027688999999999</v>
      </c>
      <c r="BH79" s="260">
        <v>12.070112</v>
      </c>
      <c r="BI79" s="260">
        <v>12.112433999999999</v>
      </c>
      <c r="BJ79" s="260">
        <v>12.154650999999999</v>
      </c>
      <c r="BK79" s="260">
        <v>12.196762999999999</v>
      </c>
      <c r="BL79" s="260">
        <v>12.238768</v>
      </c>
      <c r="BM79" s="260">
        <v>12.280666</v>
      </c>
      <c r="BN79" s="260">
        <v>12.322453999999999</v>
      </c>
      <c r="BO79" s="260">
        <v>12.364132999999999</v>
      </c>
      <c r="BP79" s="260">
        <v>12.4057</v>
      </c>
      <c r="BQ79" s="260">
        <v>12.447154999999999</v>
      </c>
      <c r="BR79" s="260">
        <v>12.488496999999999</v>
      </c>
      <c r="BS79" s="260">
        <v>12.529722999999999</v>
      </c>
      <c r="BT79" s="260">
        <v>12.570834</v>
      </c>
      <c r="BU79" s="260">
        <v>12.611829</v>
      </c>
      <c r="BV79" s="260">
        <v>12.652704999999999</v>
      </c>
      <c r="BW79" s="260">
        <v>12.693462</v>
      </c>
      <c r="BX79" s="260">
        <v>12.7341</v>
      </c>
      <c r="BY79" s="260">
        <v>12.774616999999999</v>
      </c>
      <c r="BZ79" s="260">
        <v>12.815011999999999</v>
      </c>
      <c r="CA79" s="260">
        <v>12.855285</v>
      </c>
      <c r="CB79" s="260">
        <v>12.895432999999999</v>
      </c>
      <c r="CC79" s="260">
        <v>12.935457999999999</v>
      </c>
      <c r="CD79" s="260">
        <v>12.975356</v>
      </c>
      <c r="CE79" s="260">
        <v>13.015129</v>
      </c>
      <c r="CF79" s="260">
        <v>13.054774999999999</v>
      </c>
      <c r="CG79" s="260">
        <v>13.094291999999999</v>
      </c>
      <c r="CH79" s="260">
        <v>13.133680999999999</v>
      </c>
    </row>
    <row r="80" spans="1:86" x14ac:dyDescent="0.25">
      <c r="A80" s="170">
        <v>1</v>
      </c>
      <c r="B80" s="170">
        <v>79</v>
      </c>
      <c r="C80" s="259">
        <v>8.6696901321411133</v>
      </c>
      <c r="D80" s="259">
        <v>8.7150869369506836</v>
      </c>
      <c r="E80" s="259">
        <v>8.7603702545166016</v>
      </c>
      <c r="F80" s="259">
        <v>8.805537223815918</v>
      </c>
      <c r="G80" s="259">
        <v>8.8505878448486328</v>
      </c>
      <c r="H80" s="259">
        <v>8.8955202102661133</v>
      </c>
      <c r="I80" s="260">
        <v>9.261571</v>
      </c>
      <c r="J80" s="260">
        <v>9.3128279999999997</v>
      </c>
      <c r="K80" s="260">
        <v>9.3629809999999996</v>
      </c>
      <c r="L80" s="260">
        <v>9.4120860000000004</v>
      </c>
      <c r="M80" s="260">
        <v>9.4602179999999993</v>
      </c>
      <c r="N80" s="260">
        <v>9.5074729999999992</v>
      </c>
      <c r="O80" s="260">
        <v>9.5539579999999997</v>
      </c>
      <c r="P80" s="260">
        <v>9.5997939999999993</v>
      </c>
      <c r="Q80" s="260">
        <v>9.6451049999999992</v>
      </c>
      <c r="R80" s="260">
        <v>9.6900139999999997</v>
      </c>
      <c r="S80" s="260">
        <v>9.7346380000000003</v>
      </c>
      <c r="T80" s="260">
        <v>9.7790769999999991</v>
      </c>
      <c r="U80" s="260">
        <v>9.8234130000000004</v>
      </c>
      <c r="V80" s="260">
        <v>9.8676969999999997</v>
      </c>
      <c r="W80" s="260">
        <v>9.9119469999999996</v>
      </c>
      <c r="X80" s="260">
        <v>9.9561599999999988</v>
      </c>
      <c r="Y80" s="260">
        <v>10.000335999999999</v>
      </c>
      <c r="Z80" s="260">
        <v>10.044471</v>
      </c>
      <c r="AA80" s="260">
        <v>10.088564</v>
      </c>
      <c r="AB80" s="260">
        <v>10.132612999999999</v>
      </c>
      <c r="AC80" s="260">
        <v>10.176615999999999</v>
      </c>
      <c r="AD80" s="260">
        <v>10.220571</v>
      </c>
      <c r="AE80" s="260">
        <v>10.264476999999999</v>
      </c>
      <c r="AF80" s="260">
        <v>10.308330999999999</v>
      </c>
      <c r="AG80" s="260">
        <v>10.352131</v>
      </c>
      <c r="AH80" s="260">
        <v>10.395875999999999</v>
      </c>
      <c r="AI80" s="260">
        <v>10.439563999999999</v>
      </c>
      <c r="AJ80" s="260">
        <v>10.483193999999999</v>
      </c>
      <c r="AK80" s="260">
        <v>10.526762</v>
      </c>
      <c r="AL80" s="260">
        <v>10.570269</v>
      </c>
      <c r="AM80" s="260">
        <v>10.613711</v>
      </c>
      <c r="AN80" s="260">
        <v>10.657086999999999</v>
      </c>
      <c r="AO80" s="260">
        <v>10.700395</v>
      </c>
      <c r="AP80" s="260">
        <v>10.743634999999999</v>
      </c>
      <c r="AQ80" s="260">
        <v>10.786802999999999</v>
      </c>
      <c r="AR80" s="260">
        <v>10.829898999999999</v>
      </c>
      <c r="AS80" s="260">
        <v>10.872919999999999</v>
      </c>
      <c r="AT80" s="260">
        <v>10.915865999999999</v>
      </c>
      <c r="AU80" s="260">
        <v>10.958734</v>
      </c>
      <c r="AV80" s="260">
        <v>11.001522999999999</v>
      </c>
      <c r="AW80" s="260">
        <v>11.044231999999999</v>
      </c>
      <c r="AX80" s="260">
        <v>11.086857999999999</v>
      </c>
      <c r="AY80" s="260">
        <v>11.129401</v>
      </c>
      <c r="AZ80" s="260">
        <v>11.171858</v>
      </c>
      <c r="BA80" s="260">
        <v>11.214229999999999</v>
      </c>
      <c r="BB80" s="260">
        <v>11.256513</v>
      </c>
      <c r="BC80" s="260">
        <v>11.298705999999999</v>
      </c>
      <c r="BD80" s="260">
        <v>11.340809</v>
      </c>
      <c r="BE80" s="260">
        <v>11.382819</v>
      </c>
      <c r="BF80" s="260">
        <v>11.424735999999999</v>
      </c>
      <c r="BG80" s="260">
        <v>11.466557</v>
      </c>
      <c r="BH80" s="260">
        <v>11.508282999999999</v>
      </c>
      <c r="BI80" s="260">
        <v>11.549909999999999</v>
      </c>
      <c r="BJ80" s="260">
        <v>11.591438999999999</v>
      </c>
      <c r="BK80" s="260">
        <v>11.632866999999999</v>
      </c>
      <c r="BL80" s="260">
        <v>11.674194</v>
      </c>
      <c r="BM80" s="260">
        <v>11.715418</v>
      </c>
      <c r="BN80" s="260">
        <v>11.756537999999999</v>
      </c>
      <c r="BO80" s="260">
        <v>11.797552999999999</v>
      </c>
      <c r="BP80" s="260">
        <v>11.838462</v>
      </c>
      <c r="BQ80" s="260">
        <v>11.879263</v>
      </c>
      <c r="BR80" s="260">
        <v>11.919955999999999</v>
      </c>
      <c r="BS80" s="260">
        <v>11.960538999999999</v>
      </c>
      <c r="BT80" s="260">
        <v>12.001011</v>
      </c>
      <c r="BU80" s="260">
        <v>12.041371999999999</v>
      </c>
      <c r="BV80" s="260">
        <v>12.081619</v>
      </c>
      <c r="BW80" s="260">
        <v>12.121753</v>
      </c>
      <c r="BX80" s="260">
        <v>12.161771999999999</v>
      </c>
      <c r="BY80" s="260">
        <v>12.201675</v>
      </c>
      <c r="BZ80" s="260">
        <v>12.241460999999999</v>
      </c>
      <c r="CA80" s="260">
        <v>12.281129</v>
      </c>
      <c r="CB80" s="260">
        <v>12.320677999999999</v>
      </c>
      <c r="CC80" s="260">
        <v>12.360108</v>
      </c>
      <c r="CD80" s="260">
        <v>12.399417</v>
      </c>
      <c r="CE80" s="260">
        <v>12.438604999999999</v>
      </c>
      <c r="CF80" s="260">
        <v>12.477670999999999</v>
      </c>
      <c r="CG80" s="260">
        <v>12.516613999999999</v>
      </c>
      <c r="CH80" s="260">
        <v>12.555432999999999</v>
      </c>
    </row>
    <row r="81" spans="1:86" x14ac:dyDescent="0.25">
      <c r="A81" s="170">
        <v>1</v>
      </c>
      <c r="B81" s="170">
        <v>80</v>
      </c>
      <c r="C81" s="259">
        <v>8.1994123458862305</v>
      </c>
      <c r="D81" s="259">
        <v>8.2416133880615234</v>
      </c>
      <c r="E81" s="259">
        <v>8.2837285995483398</v>
      </c>
      <c r="F81" s="259">
        <v>8.3257589340209961</v>
      </c>
      <c r="G81" s="259">
        <v>8.3676996231079102</v>
      </c>
      <c r="H81" s="259">
        <v>8.4095516204833984</v>
      </c>
      <c r="I81" s="260">
        <v>8.75671</v>
      </c>
      <c r="J81" s="260">
        <v>8.8062579999999997</v>
      </c>
      <c r="K81" s="260">
        <v>8.854849999999999</v>
      </c>
      <c r="L81" s="260">
        <v>8.9025219999999994</v>
      </c>
      <c r="M81" s="260">
        <v>8.949330999999999</v>
      </c>
      <c r="N81" s="260">
        <v>8.9953529999999997</v>
      </c>
      <c r="O81" s="260">
        <v>9.04068</v>
      </c>
      <c r="P81" s="260">
        <v>9.0854129999999991</v>
      </c>
      <c r="Q81" s="260">
        <v>9.129662999999999</v>
      </c>
      <c r="R81" s="260">
        <v>9.1735399999999991</v>
      </c>
      <c r="S81" s="260">
        <v>9.2171500000000002</v>
      </c>
      <c r="T81" s="260">
        <v>9.2605880000000003</v>
      </c>
      <c r="U81" s="260">
        <v>9.3039290000000001</v>
      </c>
      <c r="V81" s="260">
        <v>9.3472239999999989</v>
      </c>
      <c r="W81" s="260">
        <v>9.3904889999999988</v>
      </c>
      <c r="X81" s="260">
        <v>9.4337229999999987</v>
      </c>
      <c r="Y81" s="260">
        <v>9.4769229999999993</v>
      </c>
      <c r="Z81" s="260">
        <v>9.5200870000000002</v>
      </c>
      <c r="AA81" s="260">
        <v>9.5632129999999993</v>
      </c>
      <c r="AB81" s="260">
        <v>9.6062999999999992</v>
      </c>
      <c r="AC81" s="260">
        <v>9.6493459999999995</v>
      </c>
      <c r="AD81" s="260">
        <v>9.6923490000000001</v>
      </c>
      <c r="AE81" s="260">
        <v>9.7353059999999996</v>
      </c>
      <c r="AF81" s="260">
        <v>9.7782159999999987</v>
      </c>
      <c r="AG81" s="260">
        <v>9.821078</v>
      </c>
      <c r="AH81" s="260">
        <v>9.8638890000000004</v>
      </c>
      <c r="AI81" s="260">
        <v>9.9066479999999988</v>
      </c>
      <c r="AJ81" s="260">
        <v>9.9493519999999993</v>
      </c>
      <c r="AK81" s="260">
        <v>9.9920010000000001</v>
      </c>
      <c r="AL81" s="260">
        <v>10.034592</v>
      </c>
      <c r="AM81" s="260">
        <v>10.077123</v>
      </c>
      <c r="AN81" s="260">
        <v>10.119593999999999</v>
      </c>
      <c r="AO81" s="260">
        <v>10.162001</v>
      </c>
      <c r="AP81" s="260">
        <v>10.204343999999999</v>
      </c>
      <c r="AQ81" s="260">
        <v>10.246620999999999</v>
      </c>
      <c r="AR81" s="260">
        <v>10.288829999999999</v>
      </c>
      <c r="AS81" s="260">
        <v>10.330969999999999</v>
      </c>
      <c r="AT81" s="260">
        <v>10.373039</v>
      </c>
      <c r="AU81" s="260">
        <v>10.415035</v>
      </c>
      <c r="AV81" s="260">
        <v>10.456956999999999</v>
      </c>
      <c r="AW81" s="260">
        <v>10.498802999999999</v>
      </c>
      <c r="AX81" s="260">
        <v>10.540573</v>
      </c>
      <c r="AY81" s="260">
        <v>10.582262999999999</v>
      </c>
      <c r="AZ81" s="260">
        <v>10.623873</v>
      </c>
      <c r="BA81" s="260">
        <v>10.665402</v>
      </c>
      <c r="BB81" s="260">
        <v>10.706847</v>
      </c>
      <c r="BC81" s="260">
        <v>10.748208</v>
      </c>
      <c r="BD81" s="260">
        <v>10.789482999999999</v>
      </c>
      <c r="BE81" s="260">
        <v>10.83067</v>
      </c>
      <c r="BF81" s="260">
        <v>10.871768999999999</v>
      </c>
      <c r="BG81" s="260">
        <v>10.912777999999999</v>
      </c>
      <c r="BH81" s="260">
        <v>10.953695</v>
      </c>
      <c r="BI81" s="260">
        <v>10.99452</v>
      </c>
      <c r="BJ81" s="260">
        <v>11.035250999999999</v>
      </c>
      <c r="BK81" s="260">
        <v>11.075887</v>
      </c>
      <c r="BL81" s="260">
        <v>11.116425999999999</v>
      </c>
      <c r="BM81" s="260">
        <v>11.156867</v>
      </c>
      <c r="BN81" s="260">
        <v>11.197208999999999</v>
      </c>
      <c r="BO81" s="260">
        <v>11.237451999999999</v>
      </c>
      <c r="BP81" s="260">
        <v>11.277593</v>
      </c>
      <c r="BQ81" s="260">
        <v>11.317632</v>
      </c>
      <c r="BR81" s="260">
        <v>11.357567</v>
      </c>
      <c r="BS81" s="260">
        <v>11.397397</v>
      </c>
      <c r="BT81" s="260">
        <v>11.437121999999999</v>
      </c>
      <c r="BU81" s="260">
        <v>11.476739999999999</v>
      </c>
      <c r="BV81" s="260">
        <v>11.516249999999999</v>
      </c>
      <c r="BW81" s="260">
        <v>11.555652</v>
      </c>
      <c r="BX81" s="260">
        <v>11.594942999999999</v>
      </c>
      <c r="BY81" s="260">
        <v>11.634124</v>
      </c>
      <c r="BZ81" s="260">
        <v>11.673192999999999</v>
      </c>
      <c r="CA81" s="260">
        <v>11.712149</v>
      </c>
      <c r="CB81" s="260">
        <v>11.750992</v>
      </c>
      <c r="CC81" s="260">
        <v>11.789719</v>
      </c>
      <c r="CD81" s="260">
        <v>11.828332</v>
      </c>
      <c r="CE81" s="260">
        <v>11.866828</v>
      </c>
      <c r="CF81" s="260">
        <v>11.905206999999999</v>
      </c>
      <c r="CG81" s="260">
        <v>11.943467999999999</v>
      </c>
      <c r="CH81" s="260">
        <v>11.98161</v>
      </c>
    </row>
    <row r="82" spans="1:86" x14ac:dyDescent="0.25">
      <c r="A82" s="170">
        <v>1</v>
      </c>
      <c r="B82" s="170">
        <v>81</v>
      </c>
      <c r="C82" s="259">
        <v>7.7479162216186523</v>
      </c>
      <c r="D82" s="259">
        <v>7.7878937721252441</v>
      </c>
      <c r="E82" s="259">
        <v>7.8277969360351563</v>
      </c>
      <c r="F82" s="259">
        <v>7.8676209449768066</v>
      </c>
      <c r="G82" s="259">
        <v>7.9073672294616699</v>
      </c>
      <c r="H82" s="259">
        <v>7.9470310211181641</v>
      </c>
      <c r="I82" s="260">
        <v>8.267144</v>
      </c>
      <c r="J82" s="260">
        <v>8.3147950000000002</v>
      </c>
      <c r="K82" s="260">
        <v>8.3616409999999988</v>
      </c>
      <c r="L82" s="260">
        <v>8.4077070000000003</v>
      </c>
      <c r="M82" s="260">
        <v>8.4530320000000003</v>
      </c>
      <c r="N82" s="260">
        <v>8.4976729999999989</v>
      </c>
      <c r="O82" s="260">
        <v>8.5417009999999998</v>
      </c>
      <c r="P82" s="260">
        <v>8.5852029999999999</v>
      </c>
      <c r="Q82" s="260">
        <v>8.6282699999999988</v>
      </c>
      <c r="R82" s="260">
        <v>8.6709979999999991</v>
      </c>
      <c r="S82" s="260">
        <v>8.7134830000000001</v>
      </c>
      <c r="T82" s="260">
        <v>8.7558100000000003</v>
      </c>
      <c r="U82" s="260">
        <v>8.7980489999999989</v>
      </c>
      <c r="V82" s="260">
        <v>8.8402459999999987</v>
      </c>
      <c r="W82" s="260">
        <v>8.8824170000000002</v>
      </c>
      <c r="X82" s="260">
        <v>8.9245609999999989</v>
      </c>
      <c r="Y82" s="260">
        <v>8.9666750000000004</v>
      </c>
      <c r="Z82" s="260">
        <v>9.0087569999999992</v>
      </c>
      <c r="AA82" s="260">
        <v>9.0508059999999997</v>
      </c>
      <c r="AB82" s="260">
        <v>9.0928199999999997</v>
      </c>
      <c r="AC82" s="260">
        <v>9.1347959999999997</v>
      </c>
      <c r="AD82" s="260">
        <v>9.1767329999999987</v>
      </c>
      <c r="AE82" s="260">
        <v>9.2186299999999992</v>
      </c>
      <c r="AF82" s="260">
        <v>9.2604829999999989</v>
      </c>
      <c r="AG82" s="260">
        <v>9.3022929999999988</v>
      </c>
      <c r="AH82" s="260">
        <v>9.3440549999999991</v>
      </c>
      <c r="AI82" s="260">
        <v>9.3857699999999991</v>
      </c>
      <c r="AJ82" s="260">
        <v>9.4274349999999991</v>
      </c>
      <c r="AK82" s="260">
        <v>9.469049</v>
      </c>
      <c r="AL82" s="260">
        <v>9.5106089999999988</v>
      </c>
      <c r="AM82" s="260">
        <v>9.5521139999999995</v>
      </c>
      <c r="AN82" s="260">
        <v>9.5935629999999996</v>
      </c>
      <c r="AO82" s="260">
        <v>9.6349529999999994</v>
      </c>
      <c r="AP82" s="260">
        <v>9.676283999999999</v>
      </c>
      <c r="AQ82" s="260">
        <v>9.7175519999999995</v>
      </c>
      <c r="AR82" s="260">
        <v>9.7587580000000003</v>
      </c>
      <c r="AS82" s="260">
        <v>9.7998989999999999</v>
      </c>
      <c r="AT82" s="260">
        <v>9.840973</v>
      </c>
      <c r="AU82" s="260">
        <v>9.8819800000000004</v>
      </c>
      <c r="AV82" s="260">
        <v>9.922917</v>
      </c>
      <c r="AW82" s="260">
        <v>9.9637829999999994</v>
      </c>
      <c r="AX82" s="260">
        <v>10.004576</v>
      </c>
      <c r="AY82" s="260">
        <v>10.045295999999999</v>
      </c>
      <c r="AZ82" s="260">
        <v>10.085939999999999</v>
      </c>
      <c r="BA82" s="260">
        <v>10.126507</v>
      </c>
      <c r="BB82" s="260">
        <v>10.166995999999999</v>
      </c>
      <c r="BC82" s="260">
        <v>10.207405999999999</v>
      </c>
      <c r="BD82" s="260">
        <v>10.247733999999999</v>
      </c>
      <c r="BE82" s="260">
        <v>10.287979999999999</v>
      </c>
      <c r="BF82" s="260">
        <v>10.328142</v>
      </c>
      <c r="BG82" s="260">
        <v>10.368219</v>
      </c>
      <c r="BH82" s="260">
        <v>10.408208999999999</v>
      </c>
      <c r="BI82" s="260">
        <v>10.448112</v>
      </c>
      <c r="BJ82" s="260">
        <v>10.487924999999999</v>
      </c>
      <c r="BK82" s="260">
        <v>10.527649</v>
      </c>
      <c r="BL82" s="260">
        <v>10.567280999999999</v>
      </c>
      <c r="BM82" s="260">
        <v>10.606819999999999</v>
      </c>
      <c r="BN82" s="260">
        <v>10.646265999999999</v>
      </c>
      <c r="BO82" s="260">
        <v>10.685616</v>
      </c>
      <c r="BP82" s="260">
        <v>10.724869999999999</v>
      </c>
      <c r="BQ82" s="260">
        <v>10.764026999999999</v>
      </c>
      <c r="BR82" s="260">
        <v>10.803085999999999</v>
      </c>
      <c r="BS82" s="260">
        <v>10.842044999999999</v>
      </c>
      <c r="BT82" s="260">
        <v>10.880903</v>
      </c>
      <c r="BU82" s="260">
        <v>10.91966</v>
      </c>
      <c r="BV82" s="260">
        <v>10.958314</v>
      </c>
      <c r="BW82" s="260">
        <v>10.996865</v>
      </c>
      <c r="BX82" s="260">
        <v>11.035311</v>
      </c>
      <c r="BY82" s="260">
        <v>11.073651</v>
      </c>
      <c r="BZ82" s="260">
        <v>11.111884</v>
      </c>
      <c r="CA82" s="260">
        <v>11.15001</v>
      </c>
      <c r="CB82" s="260">
        <v>11.188027999999999</v>
      </c>
      <c r="CC82" s="260">
        <v>11.225935999999999</v>
      </c>
      <c r="CD82" s="260">
        <v>11.263733999999999</v>
      </c>
      <c r="CE82" s="260">
        <v>11.301420999999999</v>
      </c>
      <c r="CF82" s="260">
        <v>11.338996</v>
      </c>
      <c r="CG82" s="260">
        <v>11.376458</v>
      </c>
      <c r="CH82" s="260">
        <v>11.413807</v>
      </c>
    </row>
    <row r="83" spans="1:86" x14ac:dyDescent="0.25">
      <c r="A83" s="170">
        <v>1</v>
      </c>
      <c r="B83" s="170">
        <v>82</v>
      </c>
      <c r="C83" s="259">
        <v>7.3070578575134277</v>
      </c>
      <c r="D83" s="259">
        <v>7.3446211814880371</v>
      </c>
      <c r="E83" s="259">
        <v>7.3821182250976563</v>
      </c>
      <c r="F83" s="259">
        <v>7.4195461273193359</v>
      </c>
      <c r="G83" s="259">
        <v>7.4569039344787598</v>
      </c>
      <c r="H83" s="259">
        <v>7.4941921234130859</v>
      </c>
      <c r="I83" s="260">
        <v>7.7945789999999997</v>
      </c>
      <c r="J83" s="260">
        <v>7.8401589999999999</v>
      </c>
      <c r="K83" s="260">
        <v>7.8850889999999998</v>
      </c>
      <c r="L83" s="260">
        <v>7.9293819999999995</v>
      </c>
      <c r="M83" s="260">
        <v>7.9730639999999999</v>
      </c>
      <c r="N83" s="260">
        <v>8.0161730000000002</v>
      </c>
      <c r="O83" s="260">
        <v>8.058762999999999</v>
      </c>
      <c r="P83" s="260">
        <v>8.100897999999999</v>
      </c>
      <c r="Q83" s="260">
        <v>8.1426559999999988</v>
      </c>
      <c r="R83" s="260">
        <v>8.1841159999999995</v>
      </c>
      <c r="S83" s="260">
        <v>8.2253579999999999</v>
      </c>
      <c r="T83" s="260">
        <v>8.2664589999999993</v>
      </c>
      <c r="U83" s="260">
        <v>8.3074809999999992</v>
      </c>
      <c r="V83" s="260">
        <v>8.3484660000000002</v>
      </c>
      <c r="W83" s="260">
        <v>8.3894279999999988</v>
      </c>
      <c r="X83" s="260">
        <v>8.4303659999999994</v>
      </c>
      <c r="Y83" s="260">
        <v>8.4712779999999999</v>
      </c>
      <c r="Z83" s="260">
        <v>8.512162</v>
      </c>
      <c r="AA83" s="260">
        <v>8.5530159999999995</v>
      </c>
      <c r="AB83" s="260">
        <v>8.5938379999999999</v>
      </c>
      <c r="AC83" s="260">
        <v>8.634625999999999</v>
      </c>
      <c r="AD83" s="260">
        <v>8.6753799999999988</v>
      </c>
      <c r="AE83" s="260">
        <v>8.7160960000000003</v>
      </c>
      <c r="AF83" s="260">
        <v>8.756772999999999</v>
      </c>
      <c r="AG83" s="260">
        <v>8.797409</v>
      </c>
      <c r="AH83" s="260">
        <v>8.8380029999999987</v>
      </c>
      <c r="AI83" s="260">
        <v>8.8785530000000001</v>
      </c>
      <c r="AJ83" s="260">
        <v>8.9190570000000005</v>
      </c>
      <c r="AK83" s="260">
        <v>8.9595140000000004</v>
      </c>
      <c r="AL83" s="260">
        <v>8.9999209999999987</v>
      </c>
      <c r="AM83" s="260">
        <v>9.0402779999999989</v>
      </c>
      <c r="AN83" s="260">
        <v>9.0805819999999997</v>
      </c>
      <c r="AO83" s="260">
        <v>9.120830999999999</v>
      </c>
      <c r="AP83" s="260">
        <v>9.1610250000000004</v>
      </c>
      <c r="AQ83" s="260">
        <v>9.2011620000000001</v>
      </c>
      <c r="AR83" s="260">
        <v>9.2412399999999995</v>
      </c>
      <c r="AS83" s="260">
        <v>9.2812570000000001</v>
      </c>
      <c r="AT83" s="260">
        <v>9.3212130000000002</v>
      </c>
      <c r="AU83" s="260">
        <v>9.3611050000000002</v>
      </c>
      <c r="AV83" s="260">
        <v>9.4009319999999992</v>
      </c>
      <c r="AW83" s="260">
        <v>9.4406920000000003</v>
      </c>
      <c r="AX83" s="260">
        <v>9.480383999999999</v>
      </c>
      <c r="AY83" s="260">
        <v>9.5200069999999997</v>
      </c>
      <c r="AZ83" s="260">
        <v>9.5595599999999994</v>
      </c>
      <c r="BA83" s="260">
        <v>9.5990399999999987</v>
      </c>
      <c r="BB83" s="260">
        <v>9.6384460000000001</v>
      </c>
      <c r="BC83" s="260">
        <v>9.677776999999999</v>
      </c>
      <c r="BD83" s="260">
        <v>9.7170319999999997</v>
      </c>
      <c r="BE83" s="260">
        <v>9.7562099999999994</v>
      </c>
      <c r="BF83" s="260">
        <v>9.7953080000000003</v>
      </c>
      <c r="BG83" s="260">
        <v>9.834325999999999</v>
      </c>
      <c r="BH83" s="260">
        <v>9.8732629999999997</v>
      </c>
      <c r="BI83" s="260">
        <v>9.9121170000000003</v>
      </c>
      <c r="BJ83" s="260">
        <v>9.9508859999999988</v>
      </c>
      <c r="BK83" s="260">
        <v>9.9895709999999998</v>
      </c>
      <c r="BL83" s="260">
        <v>10.028167999999999</v>
      </c>
      <c r="BM83" s="260">
        <v>10.066678999999999</v>
      </c>
      <c r="BN83" s="260">
        <v>10.1051</v>
      </c>
      <c r="BO83" s="260">
        <v>10.143431999999999</v>
      </c>
      <c r="BP83" s="260">
        <v>10.181671999999999</v>
      </c>
      <c r="BQ83" s="260">
        <v>10.21982</v>
      </c>
      <c r="BR83" s="260">
        <v>10.257875</v>
      </c>
      <c r="BS83" s="260">
        <v>10.295836</v>
      </c>
      <c r="BT83" s="260">
        <v>10.333701</v>
      </c>
      <c r="BU83" s="260">
        <v>10.37147</v>
      </c>
      <c r="BV83" s="260">
        <v>10.409141</v>
      </c>
      <c r="BW83" s="260">
        <v>10.446714</v>
      </c>
      <c r="BX83" s="260">
        <v>10.484188</v>
      </c>
      <c r="BY83" s="260">
        <v>10.521561</v>
      </c>
      <c r="BZ83" s="260">
        <v>10.558833</v>
      </c>
      <c r="CA83" s="260">
        <v>10.596003</v>
      </c>
      <c r="CB83" s="260">
        <v>10.63307</v>
      </c>
      <c r="CC83" s="260">
        <v>10.670031999999999</v>
      </c>
      <c r="CD83" s="260">
        <v>10.70689</v>
      </c>
      <c r="CE83" s="260">
        <v>10.743641999999999</v>
      </c>
      <c r="CF83" s="260">
        <v>10.780287999999999</v>
      </c>
      <c r="CG83" s="260">
        <v>10.816827</v>
      </c>
      <c r="CH83" s="260">
        <v>10.853256999999999</v>
      </c>
    </row>
    <row r="84" spans="1:86" x14ac:dyDescent="0.25">
      <c r="A84" s="170">
        <v>1</v>
      </c>
      <c r="B84" s="170">
        <v>83</v>
      </c>
      <c r="C84" s="259">
        <v>6.8776750564575195</v>
      </c>
      <c r="D84" s="259">
        <v>6.9126009941101074</v>
      </c>
      <c r="E84" s="259">
        <v>6.9474701881408691</v>
      </c>
      <c r="F84" s="259">
        <v>6.9822831153869629</v>
      </c>
      <c r="G84" s="259">
        <v>7.0170378684997559</v>
      </c>
      <c r="H84" s="259">
        <v>7.0517330169677734</v>
      </c>
      <c r="I84" s="260">
        <v>7.3400929999999995</v>
      </c>
      <c r="J84" s="260">
        <v>7.3834529999999994</v>
      </c>
      <c r="K84" s="260">
        <v>7.4263139999999996</v>
      </c>
      <c r="L84" s="260">
        <v>7.4686819999999994</v>
      </c>
      <c r="M84" s="260">
        <v>7.5105699999999995</v>
      </c>
      <c r="N84" s="260">
        <v>7.5520019999999999</v>
      </c>
      <c r="O84" s="260">
        <v>7.5930139999999993</v>
      </c>
      <c r="P84" s="260">
        <v>7.6336509999999995</v>
      </c>
      <c r="Q84" s="260">
        <v>7.6739709999999999</v>
      </c>
      <c r="R84" s="260">
        <v>7.7140389999999996</v>
      </c>
      <c r="S84" s="260">
        <v>7.7539189999999998</v>
      </c>
      <c r="T84" s="260">
        <v>7.7936749999999995</v>
      </c>
      <c r="U84" s="260">
        <v>7.8333619999999993</v>
      </c>
      <c r="V84" s="260">
        <v>7.8730159999999998</v>
      </c>
      <c r="W84" s="260">
        <v>7.9126499999999993</v>
      </c>
      <c r="X84" s="260">
        <v>7.9522629999999994</v>
      </c>
      <c r="Y84" s="260">
        <v>7.9918519999999997</v>
      </c>
      <c r="Z84" s="260">
        <v>8.0314169999999994</v>
      </c>
      <c r="AA84" s="260">
        <v>8.0709540000000004</v>
      </c>
      <c r="AB84" s="260">
        <v>8.1104629999999993</v>
      </c>
      <c r="AC84" s="260">
        <v>8.1499410000000001</v>
      </c>
      <c r="AD84" s="260">
        <v>8.189387</v>
      </c>
      <c r="AE84" s="260">
        <v>8.2287990000000004</v>
      </c>
      <c r="AF84" s="260">
        <v>8.2681749999999994</v>
      </c>
      <c r="AG84" s="260">
        <v>8.3075139999999994</v>
      </c>
      <c r="AH84" s="260">
        <v>8.3468140000000002</v>
      </c>
      <c r="AI84" s="260">
        <v>8.3860729999999997</v>
      </c>
      <c r="AJ84" s="260">
        <v>8.4252900000000004</v>
      </c>
      <c r="AK84" s="260">
        <v>8.4644630000000003</v>
      </c>
      <c r="AL84" s="260">
        <v>8.5035910000000001</v>
      </c>
      <c r="AM84" s="260">
        <v>8.5426710000000003</v>
      </c>
      <c r="AN84" s="260">
        <v>8.5817019999999999</v>
      </c>
      <c r="AO84" s="260">
        <v>8.6206839999999989</v>
      </c>
      <c r="AP84" s="260">
        <v>8.6596130000000002</v>
      </c>
      <c r="AQ84" s="260">
        <v>8.6984890000000004</v>
      </c>
      <c r="AR84" s="260">
        <v>8.737309999999999</v>
      </c>
      <c r="AS84" s="260">
        <v>8.7760749999999987</v>
      </c>
      <c r="AT84" s="260">
        <v>8.814781</v>
      </c>
      <c r="AU84" s="260">
        <v>8.8534290000000002</v>
      </c>
      <c r="AV84" s="260">
        <v>8.8920149999999989</v>
      </c>
      <c r="AW84" s="260">
        <v>8.9305389999999996</v>
      </c>
      <c r="AX84" s="260">
        <v>8.9689999999999994</v>
      </c>
      <c r="AY84" s="260">
        <v>9.0073949999999989</v>
      </c>
      <c r="AZ84" s="260">
        <v>9.0457249999999991</v>
      </c>
      <c r="BA84" s="260">
        <v>9.0839859999999994</v>
      </c>
      <c r="BB84" s="260">
        <v>9.1221779999999999</v>
      </c>
      <c r="BC84" s="260">
        <v>9.1602999999999994</v>
      </c>
      <c r="BD84" s="260">
        <v>9.1983499999999996</v>
      </c>
      <c r="BE84" s="260">
        <v>9.2363269999999993</v>
      </c>
      <c r="BF84" s="260">
        <v>9.2742299999999993</v>
      </c>
      <c r="BG84" s="260">
        <v>9.3120569999999994</v>
      </c>
      <c r="BH84" s="260">
        <v>9.3498070000000002</v>
      </c>
      <c r="BI84" s="260">
        <v>9.38748</v>
      </c>
      <c r="BJ84" s="260">
        <v>9.4250729999999994</v>
      </c>
      <c r="BK84" s="260">
        <v>9.4625859999999999</v>
      </c>
      <c r="BL84" s="260">
        <v>9.5000169999999997</v>
      </c>
      <c r="BM84" s="260">
        <v>9.5373660000000005</v>
      </c>
      <c r="BN84" s="260">
        <v>9.5746310000000001</v>
      </c>
      <c r="BO84" s="260">
        <v>9.6118109999999994</v>
      </c>
      <c r="BP84" s="260">
        <v>9.6489049999999992</v>
      </c>
      <c r="BQ84" s="260">
        <v>9.6859120000000001</v>
      </c>
      <c r="BR84" s="260">
        <v>9.7228309999999993</v>
      </c>
      <c r="BS84" s="260">
        <v>9.7596600000000002</v>
      </c>
      <c r="BT84" s="260">
        <v>9.7964000000000002</v>
      </c>
      <c r="BU84" s="260">
        <v>9.833048999999999</v>
      </c>
      <c r="BV84" s="260">
        <v>9.869605</v>
      </c>
      <c r="BW84" s="260">
        <v>9.9060679999999994</v>
      </c>
      <c r="BX84" s="260">
        <v>9.9424379999999992</v>
      </c>
      <c r="BY84" s="260">
        <v>9.9787119999999998</v>
      </c>
      <c r="BZ84" s="260">
        <v>10.014891</v>
      </c>
      <c r="CA84" s="260">
        <v>10.050972999999999</v>
      </c>
      <c r="CB84" s="260">
        <v>10.086957</v>
      </c>
      <c r="CC84" s="260">
        <v>10.122843</v>
      </c>
      <c r="CD84" s="260">
        <v>10.158629999999999</v>
      </c>
      <c r="CE84" s="260">
        <v>10.194315999999999</v>
      </c>
      <c r="CF84" s="260">
        <v>10.229901999999999</v>
      </c>
      <c r="CG84" s="260">
        <v>10.265385999999999</v>
      </c>
      <c r="CH84" s="260">
        <v>10.300768</v>
      </c>
    </row>
    <row r="85" spans="1:86" x14ac:dyDescent="0.25">
      <c r="A85" s="170">
        <v>1</v>
      </c>
      <c r="B85" s="170">
        <v>84</v>
      </c>
      <c r="C85" s="259">
        <v>6.460820198059082</v>
      </c>
      <c r="D85" s="259">
        <v>6.4928460121154785</v>
      </c>
      <c r="E85" s="259">
        <v>6.5248289108276367</v>
      </c>
      <c r="F85" s="259">
        <v>6.5567688941955566</v>
      </c>
      <c r="G85" s="259">
        <v>6.5886650085449219</v>
      </c>
      <c r="H85" s="259">
        <v>6.6205158233642578</v>
      </c>
      <c r="I85" s="260">
        <v>6.9042249999999994</v>
      </c>
      <c r="J85" s="260">
        <v>6.9452439999999998</v>
      </c>
      <c r="K85" s="260">
        <v>6.9859089999999995</v>
      </c>
      <c r="L85" s="260">
        <v>7.0262159999999998</v>
      </c>
      <c r="M85" s="260">
        <v>7.0661719999999999</v>
      </c>
      <c r="N85" s="260">
        <v>7.1057889999999997</v>
      </c>
      <c r="O85" s="260">
        <v>7.1450869999999993</v>
      </c>
      <c r="P85" s="260">
        <v>7.184094</v>
      </c>
      <c r="Q85" s="260">
        <v>7.2228499999999993</v>
      </c>
      <c r="R85" s="260">
        <v>7.2613989999999999</v>
      </c>
      <c r="S85" s="260">
        <v>7.2997949999999996</v>
      </c>
      <c r="T85" s="260">
        <v>7.3380849999999995</v>
      </c>
      <c r="U85" s="260">
        <v>7.376315</v>
      </c>
      <c r="V85" s="260">
        <v>7.414517</v>
      </c>
      <c r="W85" s="260">
        <v>7.4527009999999994</v>
      </c>
      <c r="X85" s="260">
        <v>7.4908659999999996</v>
      </c>
      <c r="Y85" s="260">
        <v>7.5290099999999995</v>
      </c>
      <c r="Z85" s="260">
        <v>7.5671299999999997</v>
      </c>
      <c r="AA85" s="260">
        <v>7.605226</v>
      </c>
      <c r="AB85" s="260">
        <v>7.6432959999999994</v>
      </c>
      <c r="AC85" s="260">
        <v>7.6813379999999993</v>
      </c>
      <c r="AD85" s="260">
        <v>7.7193499999999995</v>
      </c>
      <c r="AE85" s="260">
        <v>7.7573309999999998</v>
      </c>
      <c r="AF85" s="260">
        <v>7.7952789999999998</v>
      </c>
      <c r="AG85" s="260">
        <v>7.8331919999999995</v>
      </c>
      <c r="AH85" s="260">
        <v>7.8710699999999996</v>
      </c>
      <c r="AI85" s="260">
        <v>7.9089089999999995</v>
      </c>
      <c r="AJ85" s="260">
        <v>7.9467099999999995</v>
      </c>
      <c r="AK85" s="260">
        <v>7.9844689999999998</v>
      </c>
      <c r="AL85" s="260">
        <v>8.0221859999999996</v>
      </c>
      <c r="AM85" s="260">
        <v>8.0598600000000005</v>
      </c>
      <c r="AN85" s="260">
        <v>8.0974869999999992</v>
      </c>
      <c r="AO85" s="260">
        <v>8.1350680000000004</v>
      </c>
      <c r="AP85" s="260">
        <v>8.1726010000000002</v>
      </c>
      <c r="AQ85" s="260">
        <v>8.2100840000000002</v>
      </c>
      <c r="AR85" s="260">
        <v>8.2475149999999999</v>
      </c>
      <c r="AS85" s="260">
        <v>8.2848939999999995</v>
      </c>
      <c r="AT85" s="260">
        <v>8.3222190000000005</v>
      </c>
      <c r="AU85" s="260">
        <v>8.3594879999999989</v>
      </c>
      <c r="AV85" s="260">
        <v>8.3966999999999992</v>
      </c>
      <c r="AW85" s="260">
        <v>8.4338540000000002</v>
      </c>
      <c r="AX85" s="260">
        <v>8.4709489999999992</v>
      </c>
      <c r="AY85" s="260">
        <v>8.5079820000000002</v>
      </c>
      <c r="AZ85" s="260">
        <v>8.5449529999999996</v>
      </c>
      <c r="BA85" s="260">
        <v>8.581861</v>
      </c>
      <c r="BB85" s="260">
        <v>8.6187039999999993</v>
      </c>
      <c r="BC85" s="260">
        <v>8.655481</v>
      </c>
      <c r="BD85" s="260">
        <v>8.6921909999999993</v>
      </c>
      <c r="BE85" s="260">
        <v>8.7288319999999988</v>
      </c>
      <c r="BF85" s="260">
        <v>8.7654029999999992</v>
      </c>
      <c r="BG85" s="260">
        <v>8.8019029999999994</v>
      </c>
      <c r="BH85" s="260">
        <v>8.8383319999999994</v>
      </c>
      <c r="BI85" s="260">
        <v>8.8746869999999998</v>
      </c>
      <c r="BJ85" s="260">
        <v>8.9109680000000004</v>
      </c>
      <c r="BK85" s="260">
        <v>8.9471729999999994</v>
      </c>
      <c r="BL85" s="260">
        <v>8.9833009999999991</v>
      </c>
      <c r="BM85" s="260">
        <v>9.0193519999999996</v>
      </c>
      <c r="BN85" s="260">
        <v>9.0553239999999988</v>
      </c>
      <c r="BO85" s="260">
        <v>9.0912170000000003</v>
      </c>
      <c r="BP85" s="260">
        <v>9.1270279999999993</v>
      </c>
      <c r="BQ85" s="260">
        <v>9.1627580000000002</v>
      </c>
      <c r="BR85" s="260">
        <v>9.1984049999999993</v>
      </c>
      <c r="BS85" s="260">
        <v>9.2339679999999991</v>
      </c>
      <c r="BT85" s="260">
        <v>9.2694460000000003</v>
      </c>
      <c r="BU85" s="260">
        <v>9.3048380000000002</v>
      </c>
      <c r="BV85" s="260">
        <v>9.3401440000000004</v>
      </c>
      <c r="BW85" s="260">
        <v>9.3753619999999991</v>
      </c>
      <c r="BX85" s="260">
        <v>9.4104910000000004</v>
      </c>
      <c r="BY85" s="260">
        <v>9.445532</v>
      </c>
      <c r="BZ85" s="260">
        <v>9.4804809999999993</v>
      </c>
      <c r="CA85" s="260">
        <v>9.5153400000000001</v>
      </c>
      <c r="CB85" s="260">
        <v>9.5501069999999988</v>
      </c>
      <c r="CC85" s="260">
        <v>9.5847809999999996</v>
      </c>
      <c r="CD85" s="260">
        <v>9.6193619999999989</v>
      </c>
      <c r="CE85" s="260">
        <v>9.653848</v>
      </c>
      <c r="CF85" s="260">
        <v>9.6882400000000004</v>
      </c>
      <c r="CG85" s="260">
        <v>9.7225349999999988</v>
      </c>
      <c r="CH85" s="260">
        <v>9.7567339999999998</v>
      </c>
    </row>
    <row r="86" spans="1:86" x14ac:dyDescent="0.25">
      <c r="A86" s="170">
        <v>1</v>
      </c>
      <c r="B86" s="170">
        <v>85</v>
      </c>
      <c r="C86" s="259">
        <v>6.0576400756835938</v>
      </c>
      <c r="D86" s="259">
        <v>6.0864467620849609</v>
      </c>
      <c r="E86" s="259">
        <v>6.1152291297912598</v>
      </c>
      <c r="F86" s="259">
        <v>6.1439871788024902</v>
      </c>
      <c r="G86" s="259">
        <v>6.1727199554443359</v>
      </c>
      <c r="H86" s="259">
        <v>6.2014260292053223</v>
      </c>
      <c r="I86" s="260">
        <v>6.487133</v>
      </c>
      <c r="J86" s="260">
        <v>6.5257179999999995</v>
      </c>
      <c r="K86" s="260">
        <v>6.5640789999999996</v>
      </c>
      <c r="L86" s="260">
        <v>6.6022109999999996</v>
      </c>
      <c r="M86" s="260">
        <v>6.6401110000000001</v>
      </c>
      <c r="N86" s="260">
        <v>6.6777819999999997</v>
      </c>
      <c r="O86" s="260">
        <v>6.7152339999999997</v>
      </c>
      <c r="P86" s="260">
        <v>6.7524799999999994</v>
      </c>
      <c r="Q86" s="260">
        <v>6.789542</v>
      </c>
      <c r="R86" s="260">
        <v>6.8264469999999999</v>
      </c>
      <c r="S86" s="260">
        <v>6.863232</v>
      </c>
      <c r="T86" s="260">
        <v>6.8999319999999997</v>
      </c>
      <c r="U86" s="260">
        <v>6.9365819999999996</v>
      </c>
      <c r="V86" s="260">
        <v>6.9732059999999993</v>
      </c>
      <c r="W86" s="260">
        <v>7.0098149999999997</v>
      </c>
      <c r="X86" s="260">
        <v>7.046405</v>
      </c>
      <c r="Y86" s="260">
        <v>7.0829749999999994</v>
      </c>
      <c r="Z86" s="260">
        <v>7.1195249999999994</v>
      </c>
      <c r="AA86" s="260">
        <v>7.1560509999999997</v>
      </c>
      <c r="AB86" s="260">
        <v>7.1925529999999993</v>
      </c>
      <c r="AC86" s="260">
        <v>7.2290289999999997</v>
      </c>
      <c r="AD86" s="260">
        <v>7.2654769999999997</v>
      </c>
      <c r="AE86" s="260">
        <v>7.3018969999999994</v>
      </c>
      <c r="AF86" s="260">
        <v>7.3382849999999999</v>
      </c>
      <c r="AG86" s="260">
        <v>7.3746409999999996</v>
      </c>
      <c r="AH86" s="260">
        <v>7.4109639999999999</v>
      </c>
      <c r="AI86" s="260">
        <v>7.4472509999999996</v>
      </c>
      <c r="AJ86" s="260">
        <v>7.4835019999999997</v>
      </c>
      <c r="AK86" s="260">
        <v>7.5197139999999996</v>
      </c>
      <c r="AL86" s="260">
        <v>7.5558869999999994</v>
      </c>
      <c r="AM86" s="260">
        <v>7.5920189999999996</v>
      </c>
      <c r="AN86" s="260">
        <v>7.6281089999999994</v>
      </c>
      <c r="AO86" s="260">
        <v>7.6641550000000001</v>
      </c>
      <c r="AP86" s="260">
        <v>7.7001549999999996</v>
      </c>
      <c r="AQ86" s="260">
        <v>7.7361089999999999</v>
      </c>
      <c r="AR86" s="260">
        <v>7.7720149999999997</v>
      </c>
      <c r="AS86" s="260">
        <v>7.8078709999999996</v>
      </c>
      <c r="AT86" s="260">
        <v>7.8436779999999997</v>
      </c>
      <c r="AU86" s="260">
        <v>7.8794319999999995</v>
      </c>
      <c r="AV86" s="260">
        <v>7.915133</v>
      </c>
      <c r="AW86" s="260">
        <v>7.9507789999999998</v>
      </c>
      <c r="AX86" s="260">
        <v>7.98637</v>
      </c>
      <c r="AY86" s="260">
        <v>8.021903</v>
      </c>
      <c r="AZ86" s="260">
        <v>8.0573789999999992</v>
      </c>
      <c r="BA86" s="260">
        <v>8.0927949999999989</v>
      </c>
      <c r="BB86" s="260">
        <v>8.1281499999999998</v>
      </c>
      <c r="BC86" s="260">
        <v>8.1634440000000001</v>
      </c>
      <c r="BD86" s="260">
        <v>8.1986749999999997</v>
      </c>
      <c r="BE86" s="260">
        <v>8.233841</v>
      </c>
      <c r="BF86" s="260">
        <v>8.2689419999999991</v>
      </c>
      <c r="BG86" s="260">
        <v>8.3039769999999997</v>
      </c>
      <c r="BH86" s="260">
        <v>8.3389449999999989</v>
      </c>
      <c r="BI86" s="260">
        <v>8.3738440000000001</v>
      </c>
      <c r="BJ86" s="260">
        <v>8.4086730000000003</v>
      </c>
      <c r="BK86" s="260">
        <v>8.4434310000000004</v>
      </c>
      <c r="BL86" s="260">
        <v>8.4781180000000003</v>
      </c>
      <c r="BM86" s="260">
        <v>8.5127319999999997</v>
      </c>
      <c r="BN86" s="260">
        <v>8.5472729999999988</v>
      </c>
      <c r="BO86" s="260">
        <v>8.5817389999999989</v>
      </c>
      <c r="BP86" s="260">
        <v>8.616128999999999</v>
      </c>
      <c r="BQ86" s="260">
        <v>8.650442</v>
      </c>
      <c r="BR86" s="260">
        <v>8.6846779999999999</v>
      </c>
      <c r="BS86" s="260">
        <v>8.7188350000000003</v>
      </c>
      <c r="BT86" s="260">
        <v>8.7529129999999995</v>
      </c>
      <c r="BU86" s="260">
        <v>8.7869109999999999</v>
      </c>
      <c r="BV86" s="260">
        <v>8.8208269999999995</v>
      </c>
      <c r="BW86" s="260">
        <v>8.8546619999999994</v>
      </c>
      <c r="BX86" s="260">
        <v>8.8884129999999999</v>
      </c>
      <c r="BY86" s="260">
        <v>8.9220810000000004</v>
      </c>
      <c r="BZ86" s="260">
        <v>8.9556649999999998</v>
      </c>
      <c r="CA86" s="260">
        <v>8.9891629999999996</v>
      </c>
      <c r="CB86" s="260">
        <v>9.0225749999999998</v>
      </c>
      <c r="CC86" s="260">
        <v>9.0558999999999994</v>
      </c>
      <c r="CD86" s="260">
        <v>9.0891380000000002</v>
      </c>
      <c r="CE86" s="260">
        <v>9.122287</v>
      </c>
      <c r="CF86" s="260">
        <v>9.155346999999999</v>
      </c>
      <c r="CG86" s="260">
        <v>9.1883179999999989</v>
      </c>
      <c r="CH86" s="260">
        <v>9.2211979999999993</v>
      </c>
    </row>
    <row r="87" spans="1:86" x14ac:dyDescent="0.25">
      <c r="A87" s="170">
        <v>1</v>
      </c>
      <c r="B87" s="170">
        <v>86</v>
      </c>
      <c r="C87" s="259">
        <v>5.6799468994140625</v>
      </c>
      <c r="D87" s="259">
        <v>5.7068300247192383</v>
      </c>
      <c r="E87" s="259">
        <v>5.7336888313293457</v>
      </c>
      <c r="F87" s="259">
        <v>5.760523796081543</v>
      </c>
      <c r="G87" s="259">
        <v>5.7873330116271973</v>
      </c>
      <c r="H87" s="259">
        <v>5.8141169548034668</v>
      </c>
      <c r="I87" s="260">
        <v>6.0887440000000002</v>
      </c>
      <c r="J87" s="260">
        <v>6.1248239999999994</v>
      </c>
      <c r="K87" s="260">
        <v>6.1607949999999994</v>
      </c>
      <c r="L87" s="260">
        <v>6.1966479999999997</v>
      </c>
      <c r="M87" s="260">
        <v>6.2323789999999999</v>
      </c>
      <c r="N87" s="260">
        <v>6.2679830000000001</v>
      </c>
      <c r="O87" s="260">
        <v>6.3034599999999994</v>
      </c>
      <c r="P87" s="260">
        <v>6.3388119999999999</v>
      </c>
      <c r="Q87" s="260">
        <v>6.374047</v>
      </c>
      <c r="R87" s="260">
        <v>6.4091759999999995</v>
      </c>
      <c r="S87" s="260">
        <v>6.4442189999999995</v>
      </c>
      <c r="T87" s="260">
        <v>6.4791979999999993</v>
      </c>
      <c r="U87" s="260">
        <v>6.5141369999999998</v>
      </c>
      <c r="V87" s="260">
        <v>6.5490539999999999</v>
      </c>
      <c r="W87" s="260">
        <v>6.5839539999999994</v>
      </c>
      <c r="X87" s="260">
        <v>6.6188379999999993</v>
      </c>
      <c r="Y87" s="260">
        <v>6.6537029999999993</v>
      </c>
      <c r="Z87" s="260">
        <v>6.6885469999999998</v>
      </c>
      <c r="AA87" s="260">
        <v>6.7233700000000001</v>
      </c>
      <c r="AB87" s="260">
        <v>6.7581699999999998</v>
      </c>
      <c r="AC87" s="260">
        <v>6.7929449999999996</v>
      </c>
      <c r="AD87" s="260">
        <v>6.8276939999999993</v>
      </c>
      <c r="AE87" s="260">
        <v>6.8624149999999995</v>
      </c>
      <c r="AF87" s="260">
        <v>6.8971079999999994</v>
      </c>
      <c r="AG87" s="260">
        <v>6.9317699999999993</v>
      </c>
      <c r="AH87" s="260">
        <v>6.9664009999999994</v>
      </c>
      <c r="AI87" s="260">
        <v>7.0009980000000001</v>
      </c>
      <c r="AJ87" s="260">
        <v>7.0355609999999995</v>
      </c>
      <c r="AK87" s="260">
        <v>7.0700879999999993</v>
      </c>
      <c r="AL87" s="260">
        <v>7.1045789999999993</v>
      </c>
      <c r="AM87" s="260">
        <v>7.13903</v>
      </c>
      <c r="AN87" s="260">
        <v>7.1734419999999997</v>
      </c>
      <c r="AO87" s="260">
        <v>7.2078129999999998</v>
      </c>
      <c r="AP87" s="260">
        <v>7.2421409999999993</v>
      </c>
      <c r="AQ87" s="260">
        <v>7.2764259999999998</v>
      </c>
      <c r="AR87" s="260">
        <v>7.3106659999999994</v>
      </c>
      <c r="AS87" s="260">
        <v>7.3448599999999997</v>
      </c>
      <c r="AT87" s="260">
        <v>7.3790069999999996</v>
      </c>
      <c r="AU87" s="260">
        <v>7.4131049999999998</v>
      </c>
      <c r="AV87" s="260">
        <v>7.4471529999999992</v>
      </c>
      <c r="AW87" s="260">
        <v>7.4811509999999997</v>
      </c>
      <c r="AX87" s="260">
        <v>7.5150959999999998</v>
      </c>
      <c r="AY87" s="260">
        <v>7.5489889999999997</v>
      </c>
      <c r="AZ87" s="260">
        <v>7.582827</v>
      </c>
      <c r="BA87" s="260">
        <v>7.6166089999999995</v>
      </c>
      <c r="BB87" s="260">
        <v>7.6503349999999992</v>
      </c>
      <c r="BC87" s="260">
        <v>7.6840029999999997</v>
      </c>
      <c r="BD87" s="260">
        <v>7.7176130000000001</v>
      </c>
      <c r="BE87" s="260">
        <v>7.751163</v>
      </c>
      <c r="BF87" s="260">
        <v>7.7846519999999995</v>
      </c>
      <c r="BG87" s="260">
        <v>7.8180799999999993</v>
      </c>
      <c r="BH87" s="260">
        <v>7.8514439999999999</v>
      </c>
      <c r="BI87" s="260">
        <v>7.8847449999999997</v>
      </c>
      <c r="BJ87" s="260">
        <v>7.91798</v>
      </c>
      <c r="BK87" s="260">
        <v>7.9511509999999994</v>
      </c>
      <c r="BL87" s="260">
        <v>7.984254</v>
      </c>
      <c r="BM87" s="260">
        <v>8.0172889999999999</v>
      </c>
      <c r="BN87" s="260">
        <v>8.0502559999999992</v>
      </c>
      <c r="BO87" s="260">
        <v>8.0831540000000004</v>
      </c>
      <c r="BP87" s="260">
        <v>8.1159809999999997</v>
      </c>
      <c r="BQ87" s="260">
        <v>8.1487369999999988</v>
      </c>
      <c r="BR87" s="260">
        <v>8.1814199999999992</v>
      </c>
      <c r="BS87" s="260">
        <v>8.2140310000000003</v>
      </c>
      <c r="BT87" s="260">
        <v>8.2465679999999999</v>
      </c>
      <c r="BU87" s="260">
        <v>8.2790299999999988</v>
      </c>
      <c r="BV87" s="260">
        <v>8.3114170000000005</v>
      </c>
      <c r="BW87" s="260">
        <v>8.3437269999999994</v>
      </c>
      <c r="BX87" s="260">
        <v>8.3759610000000002</v>
      </c>
      <c r="BY87" s="260">
        <v>8.4081159999999997</v>
      </c>
      <c r="BZ87" s="260">
        <v>8.4401929999999989</v>
      </c>
      <c r="CA87" s="260">
        <v>8.4721910000000005</v>
      </c>
      <c r="CB87" s="260">
        <v>8.5041089999999997</v>
      </c>
      <c r="CC87" s="260">
        <v>8.5359459999999991</v>
      </c>
      <c r="CD87" s="260">
        <v>8.5677019999999988</v>
      </c>
      <c r="CE87" s="260">
        <v>8.5993750000000002</v>
      </c>
      <c r="CF87" s="260">
        <v>8.630965999999999</v>
      </c>
      <c r="CG87" s="260">
        <v>8.6624739999999996</v>
      </c>
      <c r="CH87" s="260">
        <v>8.6938969999999998</v>
      </c>
    </row>
    <row r="88" spans="1:86" x14ac:dyDescent="0.25">
      <c r="A88" s="170">
        <v>1</v>
      </c>
      <c r="B88" s="170">
        <v>87</v>
      </c>
      <c r="C88" s="259">
        <v>5.3180317878723145</v>
      </c>
      <c r="D88" s="259">
        <v>5.3428020477294922</v>
      </c>
      <c r="E88" s="259">
        <v>5.367548942565918</v>
      </c>
      <c r="F88" s="259">
        <v>5.39227294921875</v>
      </c>
      <c r="G88" s="259">
        <v>5.4169721603393555</v>
      </c>
      <c r="H88" s="259">
        <v>5.4416470527648926</v>
      </c>
      <c r="I88" s="260">
        <v>5.7088549999999998</v>
      </c>
      <c r="J88" s="260">
        <v>5.742375</v>
      </c>
      <c r="K88" s="260">
        <v>5.7758829999999994</v>
      </c>
      <c r="L88" s="260">
        <v>5.8093689999999993</v>
      </c>
      <c r="M88" s="260">
        <v>5.8428259999999996</v>
      </c>
      <c r="N88" s="260">
        <v>5.8762449999999999</v>
      </c>
      <c r="O88" s="260">
        <v>5.909618</v>
      </c>
      <c r="P88" s="260">
        <v>5.942939</v>
      </c>
      <c r="Q88" s="260">
        <v>5.9762059999999995</v>
      </c>
      <c r="R88" s="260">
        <v>6.0094180000000001</v>
      </c>
      <c r="S88" s="260">
        <v>6.0425789999999999</v>
      </c>
      <c r="T88" s="260">
        <v>6.0756959999999998</v>
      </c>
      <c r="U88" s="260">
        <v>6.1087829999999999</v>
      </c>
      <c r="V88" s="260">
        <v>6.1418499999999998</v>
      </c>
      <c r="W88" s="260">
        <v>6.1749019999999994</v>
      </c>
      <c r="X88" s="260">
        <v>6.2079369999999994</v>
      </c>
      <c r="Y88" s="260">
        <v>6.2409539999999994</v>
      </c>
      <c r="Z88" s="260">
        <v>6.2739509999999994</v>
      </c>
      <c r="AA88" s="260">
        <v>6.3069280000000001</v>
      </c>
      <c r="AB88" s="260">
        <v>6.3398819999999994</v>
      </c>
      <c r="AC88" s="260">
        <v>6.3728119999999997</v>
      </c>
      <c r="AD88" s="260">
        <v>6.4057179999999994</v>
      </c>
      <c r="AE88" s="260">
        <v>6.4385979999999998</v>
      </c>
      <c r="AF88" s="260">
        <v>6.4714499999999999</v>
      </c>
      <c r="AG88" s="260">
        <v>6.5042729999999995</v>
      </c>
      <c r="AH88" s="260">
        <v>6.5370659999999994</v>
      </c>
      <c r="AI88" s="260">
        <v>6.5698289999999995</v>
      </c>
      <c r="AJ88" s="260">
        <v>6.6025579999999993</v>
      </c>
      <c r="AK88" s="260">
        <v>6.6352539999999998</v>
      </c>
      <c r="AL88" s="260">
        <v>6.6679149999999998</v>
      </c>
      <c r="AM88" s="260">
        <v>6.7005409999999994</v>
      </c>
      <c r="AN88" s="260">
        <v>6.7331279999999998</v>
      </c>
      <c r="AO88" s="260">
        <v>6.7656779999999994</v>
      </c>
      <c r="AP88" s="260">
        <v>6.7981879999999997</v>
      </c>
      <c r="AQ88" s="260">
        <v>6.8306569999999995</v>
      </c>
      <c r="AR88" s="260">
        <v>6.8630839999999997</v>
      </c>
      <c r="AS88" s="260">
        <v>6.8954679999999993</v>
      </c>
      <c r="AT88" s="260">
        <v>6.9278089999999999</v>
      </c>
      <c r="AU88" s="260">
        <v>6.9601039999999994</v>
      </c>
      <c r="AV88" s="260">
        <v>6.9923529999999996</v>
      </c>
      <c r="AW88" s="260">
        <v>7.0245539999999993</v>
      </c>
      <c r="AX88" s="260">
        <v>7.0567079999999995</v>
      </c>
      <c r="AY88" s="260">
        <v>7.0888109999999998</v>
      </c>
      <c r="AZ88" s="260">
        <v>7.1208649999999993</v>
      </c>
      <c r="BA88" s="260">
        <v>7.1528669999999996</v>
      </c>
      <c r="BB88" s="260">
        <v>7.1848169999999998</v>
      </c>
      <c r="BC88" s="260">
        <v>7.2167129999999995</v>
      </c>
      <c r="BD88" s="260">
        <v>7.2485549999999996</v>
      </c>
      <c r="BE88" s="260">
        <v>7.2803420000000001</v>
      </c>
      <c r="BF88" s="260">
        <v>7.3120729999999998</v>
      </c>
      <c r="BG88" s="260">
        <v>7.3437459999999994</v>
      </c>
      <c r="BH88" s="260">
        <v>7.3753609999999998</v>
      </c>
      <c r="BI88" s="260">
        <v>7.406917</v>
      </c>
      <c r="BJ88" s="260">
        <v>7.4384139999999999</v>
      </c>
      <c r="BK88" s="260">
        <v>7.4698500000000001</v>
      </c>
      <c r="BL88" s="260">
        <v>7.5012239999999997</v>
      </c>
      <c r="BM88" s="260">
        <v>7.5325349999999993</v>
      </c>
      <c r="BN88" s="260">
        <v>7.5637840000000001</v>
      </c>
      <c r="BO88" s="260">
        <v>7.5949679999999997</v>
      </c>
      <c r="BP88" s="260">
        <v>7.6260870000000001</v>
      </c>
      <c r="BQ88" s="260">
        <v>7.6571409999999993</v>
      </c>
      <c r="BR88" s="260">
        <v>7.6881279999999999</v>
      </c>
      <c r="BS88" s="260">
        <v>7.7190479999999999</v>
      </c>
      <c r="BT88" s="260">
        <v>7.7498999999999993</v>
      </c>
      <c r="BU88" s="260">
        <v>7.7806829999999998</v>
      </c>
      <c r="BV88" s="260">
        <v>7.8113969999999995</v>
      </c>
      <c r="BW88" s="260">
        <v>7.842041</v>
      </c>
      <c r="BX88" s="260">
        <v>7.8726129999999994</v>
      </c>
      <c r="BY88" s="260">
        <v>7.9031139999999995</v>
      </c>
      <c r="BZ88" s="260">
        <v>7.9335429999999993</v>
      </c>
      <c r="CA88" s="260">
        <v>7.9638989999999996</v>
      </c>
      <c r="CB88" s="260">
        <v>7.9941809999999993</v>
      </c>
      <c r="CC88" s="260">
        <v>8.0243889999999993</v>
      </c>
      <c r="CD88" s="260">
        <v>8.0545220000000004</v>
      </c>
      <c r="CE88" s="260">
        <v>8.084579999999999</v>
      </c>
      <c r="CF88" s="260">
        <v>8.1145619999999994</v>
      </c>
      <c r="CG88" s="260">
        <v>8.1444669999999988</v>
      </c>
      <c r="CH88" s="260">
        <v>8.174294999999999</v>
      </c>
    </row>
    <row r="89" spans="1:86" x14ac:dyDescent="0.25">
      <c r="A89" s="170">
        <v>1</v>
      </c>
      <c r="B89" s="170">
        <v>88</v>
      </c>
      <c r="C89" s="259">
        <v>4.972599983215332</v>
      </c>
      <c r="D89" s="259">
        <v>4.9950199127197266</v>
      </c>
      <c r="E89" s="259">
        <v>5.0174188613891602</v>
      </c>
      <c r="F89" s="259">
        <v>5.0397968292236328</v>
      </c>
      <c r="G89" s="259">
        <v>5.0621538162231445</v>
      </c>
      <c r="H89" s="259">
        <v>5.0844879150390625</v>
      </c>
      <c r="I89" s="260">
        <v>5.3471890000000002</v>
      </c>
      <c r="J89" s="260">
        <v>5.3781109999999996</v>
      </c>
      <c r="K89" s="260">
        <v>5.4090939999999996</v>
      </c>
      <c r="L89" s="260">
        <v>5.4401320000000002</v>
      </c>
      <c r="M89" s="260">
        <v>5.4712149999999999</v>
      </c>
      <c r="N89" s="260">
        <v>5.5023309999999999</v>
      </c>
      <c r="O89" s="260">
        <v>5.5334690000000002</v>
      </c>
      <c r="P89" s="260">
        <v>5.5646179999999994</v>
      </c>
      <c r="Q89" s="260">
        <v>5.5957659999999994</v>
      </c>
      <c r="R89" s="260">
        <v>5.6269039999999997</v>
      </c>
      <c r="S89" s="260">
        <v>5.6580240000000002</v>
      </c>
      <c r="T89" s="260">
        <v>5.6891239999999996</v>
      </c>
      <c r="U89" s="260">
        <v>5.7202029999999997</v>
      </c>
      <c r="V89" s="260">
        <v>5.7512650000000001</v>
      </c>
      <c r="W89" s="260">
        <v>5.782311</v>
      </c>
      <c r="X89" s="260">
        <v>5.8133409999999994</v>
      </c>
      <c r="Y89" s="260">
        <v>5.8443529999999999</v>
      </c>
      <c r="Z89" s="260">
        <v>5.8753459999999995</v>
      </c>
      <c r="AA89" s="260">
        <v>5.9063179999999997</v>
      </c>
      <c r="AB89" s="260">
        <v>5.9372689999999997</v>
      </c>
      <c r="AC89" s="260">
        <v>5.9681980000000001</v>
      </c>
      <c r="AD89" s="260">
        <v>5.9991029999999999</v>
      </c>
      <c r="AE89" s="260">
        <v>6.0299829999999996</v>
      </c>
      <c r="AF89" s="260">
        <v>6.0608369999999994</v>
      </c>
      <c r="AG89" s="260">
        <v>6.0916639999999997</v>
      </c>
      <c r="AH89" s="260">
        <v>6.1224619999999996</v>
      </c>
      <c r="AI89" s="260">
        <v>6.153232</v>
      </c>
      <c r="AJ89" s="260">
        <v>6.1839709999999997</v>
      </c>
      <c r="AK89" s="260">
        <v>6.2146780000000001</v>
      </c>
      <c r="AL89" s="260">
        <v>6.2453529999999997</v>
      </c>
      <c r="AM89" s="260">
        <v>6.275995</v>
      </c>
      <c r="AN89" s="260">
        <v>6.3066009999999997</v>
      </c>
      <c r="AO89" s="260">
        <v>6.3371729999999999</v>
      </c>
      <c r="AP89" s="260">
        <v>6.3677069999999993</v>
      </c>
      <c r="AQ89" s="260">
        <v>6.3982039999999998</v>
      </c>
      <c r="AR89" s="260">
        <v>6.4286620000000001</v>
      </c>
      <c r="AS89" s="260">
        <v>6.4590799999999993</v>
      </c>
      <c r="AT89" s="260">
        <v>6.4894579999999999</v>
      </c>
      <c r="AU89" s="260">
        <v>6.5197940000000001</v>
      </c>
      <c r="AV89" s="260">
        <v>6.5500879999999997</v>
      </c>
      <c r="AW89" s="260">
        <v>6.5803379999999994</v>
      </c>
      <c r="AX89" s="260">
        <v>6.610544</v>
      </c>
      <c r="AY89" s="260">
        <v>6.6407049999999996</v>
      </c>
      <c r="AZ89" s="260">
        <v>6.6708189999999998</v>
      </c>
      <c r="BA89" s="260">
        <v>6.7008859999999997</v>
      </c>
      <c r="BB89" s="260">
        <v>6.7309060000000001</v>
      </c>
      <c r="BC89" s="260">
        <v>6.7608759999999997</v>
      </c>
      <c r="BD89" s="260">
        <v>6.7907969999999995</v>
      </c>
      <c r="BE89" s="260">
        <v>6.8206669999999994</v>
      </c>
      <c r="BF89" s="260">
        <v>6.8504860000000001</v>
      </c>
      <c r="BG89" s="260">
        <v>6.8802529999999997</v>
      </c>
      <c r="BH89" s="260">
        <v>6.909967</v>
      </c>
      <c r="BI89" s="260">
        <v>6.9396269999999998</v>
      </c>
      <c r="BJ89" s="260">
        <v>6.969233</v>
      </c>
      <c r="BK89" s="260">
        <v>6.9987829999999995</v>
      </c>
      <c r="BL89" s="260">
        <v>7.0282770000000001</v>
      </c>
      <c r="BM89" s="260">
        <v>7.057715</v>
      </c>
      <c r="BN89" s="260">
        <v>7.0870939999999996</v>
      </c>
      <c r="BO89" s="260">
        <v>7.1164160000000001</v>
      </c>
      <c r="BP89" s="260">
        <v>7.1456779999999993</v>
      </c>
      <c r="BQ89" s="260">
        <v>7.1748810000000001</v>
      </c>
      <c r="BR89" s="260">
        <v>7.2040239999999995</v>
      </c>
      <c r="BS89" s="260">
        <v>7.2331049999999992</v>
      </c>
      <c r="BT89" s="260">
        <v>7.262124</v>
      </c>
      <c r="BU89" s="260">
        <v>7.2910819999999994</v>
      </c>
      <c r="BV89" s="260">
        <v>7.3199759999999996</v>
      </c>
      <c r="BW89" s="260">
        <v>7.3488059999999997</v>
      </c>
      <c r="BX89" s="260">
        <v>7.3775729999999999</v>
      </c>
      <c r="BY89" s="260">
        <v>7.4062739999999998</v>
      </c>
      <c r="BZ89" s="260">
        <v>7.4349099999999995</v>
      </c>
      <c r="CA89" s="260">
        <v>7.4634789999999995</v>
      </c>
      <c r="CB89" s="260">
        <v>7.4919819999999993</v>
      </c>
      <c r="CC89" s="260">
        <v>7.5204179999999994</v>
      </c>
      <c r="CD89" s="260">
        <v>7.5487859999999998</v>
      </c>
      <c r="CE89" s="260">
        <v>7.5770859999999995</v>
      </c>
      <c r="CF89" s="260">
        <v>7.6053169999999994</v>
      </c>
      <c r="CG89" s="260">
        <v>7.6334779999999993</v>
      </c>
      <c r="CH89" s="260">
        <v>7.6615699999999993</v>
      </c>
    </row>
    <row r="90" spans="1:86" x14ac:dyDescent="0.25">
      <c r="A90" s="170">
        <v>1</v>
      </c>
      <c r="B90" s="170">
        <v>89</v>
      </c>
      <c r="C90" s="259">
        <v>4.6440420150756836</v>
      </c>
      <c r="D90" s="259">
        <v>4.6638040542602539</v>
      </c>
      <c r="E90" s="259">
        <v>4.6835508346557617</v>
      </c>
      <c r="F90" s="259">
        <v>4.7032828330993652</v>
      </c>
      <c r="G90" s="259">
        <v>4.722999095916748</v>
      </c>
      <c r="H90" s="259">
        <v>4.742699146270752</v>
      </c>
      <c r="I90" s="260">
        <v>5.0034459999999994</v>
      </c>
      <c r="J90" s="260">
        <v>5.0317409999999994</v>
      </c>
      <c r="K90" s="260">
        <v>5.0601479999999999</v>
      </c>
      <c r="L90" s="260">
        <v>5.0886610000000001</v>
      </c>
      <c r="M90" s="260">
        <v>5.1172709999999997</v>
      </c>
      <c r="N90" s="260">
        <v>5.1459649999999995</v>
      </c>
      <c r="O90" s="260">
        <v>5.1747309999999995</v>
      </c>
      <c r="P90" s="260">
        <v>5.2035529999999994</v>
      </c>
      <c r="Q90" s="260">
        <v>5.2324159999999997</v>
      </c>
      <c r="R90" s="260">
        <v>5.2613050000000001</v>
      </c>
      <c r="S90" s="260">
        <v>5.2902049999999994</v>
      </c>
      <c r="T90" s="260">
        <v>5.3191039999999994</v>
      </c>
      <c r="U90" s="260">
        <v>5.3479929999999998</v>
      </c>
      <c r="V90" s="260">
        <v>5.3768690000000001</v>
      </c>
      <c r="W90" s="260">
        <v>5.405729</v>
      </c>
      <c r="X90" s="260">
        <v>5.4345729999999994</v>
      </c>
      <c r="Y90" s="260">
        <v>5.4634</v>
      </c>
      <c r="Z90" s="260">
        <v>5.4922089999999999</v>
      </c>
      <c r="AA90" s="260">
        <v>5.5209989999999998</v>
      </c>
      <c r="AB90" s="260">
        <v>5.5497679999999994</v>
      </c>
      <c r="AC90" s="260">
        <v>5.5785169999999997</v>
      </c>
      <c r="AD90" s="260">
        <v>5.6072429999999995</v>
      </c>
      <c r="AE90" s="260">
        <v>5.6359459999999997</v>
      </c>
      <c r="AF90" s="260">
        <v>5.6646260000000002</v>
      </c>
      <c r="AG90" s="260">
        <v>5.6932799999999997</v>
      </c>
      <c r="AH90" s="260">
        <v>5.721908</v>
      </c>
      <c r="AI90" s="260">
        <v>5.7505090000000001</v>
      </c>
      <c r="AJ90" s="260">
        <v>5.7790819999999998</v>
      </c>
      <c r="AK90" s="260">
        <v>5.8076270000000001</v>
      </c>
      <c r="AL90" s="260">
        <v>5.8361419999999997</v>
      </c>
      <c r="AM90" s="260">
        <v>5.8646259999999995</v>
      </c>
      <c r="AN90" s="260">
        <v>5.8930789999999993</v>
      </c>
      <c r="AO90" s="260">
        <v>5.9214989999999998</v>
      </c>
      <c r="AP90" s="260">
        <v>5.9498869999999995</v>
      </c>
      <c r="AQ90" s="260">
        <v>5.9782399999999996</v>
      </c>
      <c r="AR90" s="260">
        <v>6.0065580000000001</v>
      </c>
      <c r="AS90" s="260">
        <v>6.0348410000000001</v>
      </c>
      <c r="AT90" s="260">
        <v>6.0630869999999994</v>
      </c>
      <c r="AU90" s="260">
        <v>6.0912949999999997</v>
      </c>
      <c r="AV90" s="260">
        <v>6.1194649999999999</v>
      </c>
      <c r="AW90" s="260">
        <v>6.1475969999999993</v>
      </c>
      <c r="AX90" s="260">
        <v>6.1756880000000001</v>
      </c>
      <c r="AY90" s="260">
        <v>6.2037389999999997</v>
      </c>
      <c r="AZ90" s="260">
        <v>6.2317479999999996</v>
      </c>
      <c r="BA90" s="260">
        <v>6.2597160000000001</v>
      </c>
      <c r="BB90" s="260">
        <v>6.2876399999999997</v>
      </c>
      <c r="BC90" s="260">
        <v>6.3155209999999995</v>
      </c>
      <c r="BD90" s="260">
        <v>6.3433570000000001</v>
      </c>
      <c r="BE90" s="260">
        <v>6.371149</v>
      </c>
      <c r="BF90" s="260">
        <v>6.3988939999999994</v>
      </c>
      <c r="BG90" s="260">
        <v>6.4265929999999996</v>
      </c>
      <c r="BH90" s="260">
        <v>6.4542449999999993</v>
      </c>
      <c r="BI90" s="260">
        <v>6.4818489999999995</v>
      </c>
      <c r="BJ90" s="260">
        <v>6.509404</v>
      </c>
      <c r="BK90" s="260">
        <v>6.5369109999999999</v>
      </c>
      <c r="BL90" s="260">
        <v>6.5643669999999998</v>
      </c>
      <c r="BM90" s="260">
        <v>6.5917729999999999</v>
      </c>
      <c r="BN90" s="260">
        <v>6.6191269999999998</v>
      </c>
      <c r="BO90" s="260">
        <v>6.6464299999999996</v>
      </c>
      <c r="BP90" s="260">
        <v>6.6736809999999993</v>
      </c>
      <c r="BQ90" s="260">
        <v>6.7008779999999994</v>
      </c>
      <c r="BR90" s="260">
        <v>6.7280219999999993</v>
      </c>
      <c r="BS90" s="260">
        <v>6.7551119999999996</v>
      </c>
      <c r="BT90" s="260">
        <v>6.7821469999999993</v>
      </c>
      <c r="BU90" s="260">
        <v>6.809126</v>
      </c>
      <c r="BV90" s="260">
        <v>6.8360499999999993</v>
      </c>
      <c r="BW90" s="260">
        <v>6.8629169999999995</v>
      </c>
      <c r="BX90" s="260">
        <v>6.8897269999999997</v>
      </c>
      <c r="BY90" s="260">
        <v>6.91648</v>
      </c>
      <c r="BZ90" s="260">
        <v>6.9431750000000001</v>
      </c>
      <c r="CA90" s="260">
        <v>6.969811</v>
      </c>
      <c r="CB90" s="260">
        <v>6.9963879999999996</v>
      </c>
      <c r="CC90" s="260">
        <v>7.0229049999999997</v>
      </c>
      <c r="CD90" s="260">
        <v>7.0493629999999996</v>
      </c>
      <c r="CE90" s="260">
        <v>7.0757599999999998</v>
      </c>
      <c r="CF90" s="260">
        <v>7.1020959999999995</v>
      </c>
      <c r="CG90" s="260">
        <v>7.1283709999999996</v>
      </c>
      <c r="CH90" s="260">
        <v>7.1545829999999997</v>
      </c>
    </row>
    <row r="91" spans="1:86" x14ac:dyDescent="0.25">
      <c r="A91" s="170">
        <v>1</v>
      </c>
      <c r="B91" s="170">
        <v>90</v>
      </c>
      <c r="C91" s="259">
        <v>4.3323841094970703</v>
      </c>
      <c r="D91" s="259">
        <v>4.3490819931030273</v>
      </c>
      <c r="E91" s="259">
        <v>4.3657770156860352</v>
      </c>
      <c r="F91" s="259">
        <v>4.3824667930603027</v>
      </c>
      <c r="G91" s="259">
        <v>4.3991541862487793</v>
      </c>
      <c r="H91" s="259">
        <v>4.415834903717041</v>
      </c>
      <c r="I91" s="260">
        <v>4.6773030000000002</v>
      </c>
      <c r="J91" s="260">
        <v>4.7029559999999995</v>
      </c>
      <c r="K91" s="260">
        <v>4.7287439999999998</v>
      </c>
      <c r="L91" s="260">
        <v>4.7546599999999994</v>
      </c>
      <c r="M91" s="260">
        <v>4.7806989999999994</v>
      </c>
      <c r="N91" s="260">
        <v>4.8068479999999996</v>
      </c>
      <c r="O91" s="260">
        <v>4.833094</v>
      </c>
      <c r="P91" s="260">
        <v>4.8594210000000002</v>
      </c>
      <c r="Q91" s="260">
        <v>4.8858119999999996</v>
      </c>
      <c r="R91" s="260">
        <v>4.9122499999999993</v>
      </c>
      <c r="S91" s="260">
        <v>4.9387169999999996</v>
      </c>
      <c r="T91" s="260">
        <v>4.965198</v>
      </c>
      <c r="U91" s="260">
        <v>4.9916789999999995</v>
      </c>
      <c r="V91" s="260">
        <v>5.0181509999999996</v>
      </c>
      <c r="W91" s="260">
        <v>5.0446089999999995</v>
      </c>
      <c r="X91" s="260">
        <v>5.071053</v>
      </c>
      <c r="Y91" s="260">
        <v>5.0974810000000002</v>
      </c>
      <c r="Z91" s="260">
        <v>5.1238939999999999</v>
      </c>
      <c r="AA91" s="260">
        <v>5.15029</v>
      </c>
      <c r="AB91" s="260">
        <v>5.1766679999999994</v>
      </c>
      <c r="AC91" s="260">
        <v>5.2030269999999996</v>
      </c>
      <c r="AD91" s="260">
        <v>5.2293669999999999</v>
      </c>
      <c r="AE91" s="260">
        <v>5.255687</v>
      </c>
      <c r="AF91" s="260">
        <v>5.2819859999999998</v>
      </c>
      <c r="AG91" s="260">
        <v>5.3082630000000002</v>
      </c>
      <c r="AH91" s="260">
        <v>5.3345180000000001</v>
      </c>
      <c r="AI91" s="260">
        <v>5.3607489999999993</v>
      </c>
      <c r="AJ91" s="260">
        <v>5.3869559999999996</v>
      </c>
      <c r="AK91" s="260">
        <v>5.4131390000000001</v>
      </c>
      <c r="AL91" s="260">
        <v>5.4392959999999997</v>
      </c>
      <c r="AM91" s="260">
        <v>5.4654259999999999</v>
      </c>
      <c r="AN91" s="260">
        <v>5.4915289999999999</v>
      </c>
      <c r="AO91" s="260">
        <v>5.5176049999999996</v>
      </c>
      <c r="AP91" s="260">
        <v>5.5436519999999998</v>
      </c>
      <c r="AQ91" s="260">
        <v>5.5696699999999995</v>
      </c>
      <c r="AR91" s="260">
        <v>5.5956570000000001</v>
      </c>
      <c r="AS91" s="260">
        <v>5.6216140000000001</v>
      </c>
      <c r="AT91" s="260">
        <v>5.6475399999999993</v>
      </c>
      <c r="AU91" s="260">
        <v>5.6734339999999994</v>
      </c>
      <c r="AV91" s="260">
        <v>5.6992940000000001</v>
      </c>
      <c r="AW91" s="260">
        <v>5.7251219999999998</v>
      </c>
      <c r="AX91" s="260">
        <v>5.750915</v>
      </c>
      <c r="AY91" s="260">
        <v>5.7766739999999999</v>
      </c>
      <c r="AZ91" s="260">
        <v>5.802397</v>
      </c>
      <c r="BA91" s="260">
        <v>5.8280839999999996</v>
      </c>
      <c r="BB91" s="260">
        <v>5.8537349999999995</v>
      </c>
      <c r="BC91" s="260">
        <v>5.8793479999999994</v>
      </c>
      <c r="BD91" s="260">
        <v>5.9049230000000001</v>
      </c>
      <c r="BE91" s="260">
        <v>5.9304600000000001</v>
      </c>
      <c r="BF91" s="260">
        <v>5.9559579999999999</v>
      </c>
      <c r="BG91" s="260">
        <v>5.9814159999999994</v>
      </c>
      <c r="BH91" s="260">
        <v>6.0068329999999994</v>
      </c>
      <c r="BI91" s="260">
        <v>6.0322100000000001</v>
      </c>
      <c r="BJ91" s="260">
        <v>6.0575459999999994</v>
      </c>
      <c r="BK91" s="260">
        <v>6.0828389999999999</v>
      </c>
      <c r="BL91" s="260">
        <v>6.1080899999999998</v>
      </c>
      <c r="BM91" s="260">
        <v>6.1332979999999999</v>
      </c>
      <c r="BN91" s="260">
        <v>6.1584620000000001</v>
      </c>
      <c r="BO91" s="260">
        <v>6.1835819999999995</v>
      </c>
      <c r="BP91" s="260">
        <v>6.2086569999999996</v>
      </c>
      <c r="BQ91" s="260">
        <v>6.2336869999999998</v>
      </c>
      <c r="BR91" s="260">
        <v>6.2586709999999997</v>
      </c>
      <c r="BS91" s="260">
        <v>6.2836089999999993</v>
      </c>
      <c r="BT91" s="260">
        <v>6.3085009999999997</v>
      </c>
      <c r="BU91" s="260">
        <v>6.3333449999999996</v>
      </c>
      <c r="BV91" s="260">
        <v>6.3581409999999998</v>
      </c>
      <c r="BW91" s="260">
        <v>6.3828899999999997</v>
      </c>
      <c r="BX91" s="260">
        <v>6.4075889999999998</v>
      </c>
      <c r="BY91" s="260">
        <v>6.4322399999999993</v>
      </c>
      <c r="BZ91" s="260">
        <v>6.4568409999999998</v>
      </c>
      <c r="CA91" s="260">
        <v>6.4813919999999996</v>
      </c>
      <c r="CB91" s="260">
        <v>6.5058929999999995</v>
      </c>
      <c r="CC91" s="260">
        <v>6.5303429999999993</v>
      </c>
      <c r="CD91" s="260">
        <v>6.5547409999999999</v>
      </c>
      <c r="CE91" s="260">
        <v>6.5790879999999996</v>
      </c>
      <c r="CF91" s="260">
        <v>6.603383</v>
      </c>
      <c r="CG91" s="260">
        <v>6.6276250000000001</v>
      </c>
      <c r="CH91" s="260">
        <v>6.651815</v>
      </c>
    </row>
    <row r="92" spans="1:86" x14ac:dyDescent="0.25">
      <c r="A92" s="170">
        <v>1</v>
      </c>
      <c r="B92" s="170">
        <v>91</v>
      </c>
      <c r="C92" s="259">
        <v>4.0511221885681152</v>
      </c>
      <c r="D92" s="259">
        <v>4.0664238929748535</v>
      </c>
      <c r="E92" s="259">
        <v>4.0817179679870605</v>
      </c>
      <c r="F92" s="259">
        <v>4.0970048904418945</v>
      </c>
      <c r="G92" s="259">
        <v>4.1122841835021973</v>
      </c>
      <c r="H92" s="259">
        <v>4.1275539398193359</v>
      </c>
      <c r="I92" s="260">
        <v>4.3684079999999996</v>
      </c>
      <c r="J92" s="260">
        <v>4.3914179999999998</v>
      </c>
      <c r="K92" s="260">
        <v>4.4145519999999996</v>
      </c>
      <c r="L92" s="260">
        <v>4.4378069999999994</v>
      </c>
      <c r="M92" s="260">
        <v>4.4611739999999998</v>
      </c>
      <c r="N92" s="260">
        <v>4.4846449999999995</v>
      </c>
      <c r="O92" s="260">
        <v>4.5082089999999999</v>
      </c>
      <c r="P92" s="260">
        <v>4.5318509999999996</v>
      </c>
      <c r="Q92" s="260">
        <v>4.5555560000000002</v>
      </c>
      <c r="R92" s="260">
        <v>4.579307</v>
      </c>
      <c r="S92" s="260">
        <v>4.6030899999999999</v>
      </c>
      <c r="T92" s="260">
        <v>4.6268889999999994</v>
      </c>
      <c r="U92" s="260">
        <v>4.6506910000000001</v>
      </c>
      <c r="V92" s="260">
        <v>4.6744880000000002</v>
      </c>
      <c r="W92" s="260">
        <v>4.6982749999999998</v>
      </c>
      <c r="X92" s="260">
        <v>4.7220519999999997</v>
      </c>
      <c r="Y92" s="260">
        <v>4.745819</v>
      </c>
      <c r="Z92" s="260">
        <v>4.7695739999999995</v>
      </c>
      <c r="AA92" s="260">
        <v>4.7933180000000002</v>
      </c>
      <c r="AB92" s="260">
        <v>4.8170479999999998</v>
      </c>
      <c r="AC92" s="260">
        <v>4.8407650000000002</v>
      </c>
      <c r="AD92" s="260">
        <v>4.8644679999999996</v>
      </c>
      <c r="AE92" s="260">
        <v>4.8881559999999995</v>
      </c>
      <c r="AF92" s="260">
        <v>4.911829</v>
      </c>
      <c r="AG92" s="260">
        <v>4.935486</v>
      </c>
      <c r="AH92" s="260">
        <v>4.9591259999999995</v>
      </c>
      <c r="AI92" s="260">
        <v>4.982748</v>
      </c>
      <c r="AJ92" s="260">
        <v>5.0063529999999998</v>
      </c>
      <c r="AK92" s="260">
        <v>5.0299389999999997</v>
      </c>
      <c r="AL92" s="260">
        <v>5.0535049999999995</v>
      </c>
      <c r="AM92" s="260">
        <v>5.0770520000000001</v>
      </c>
      <c r="AN92" s="260">
        <v>5.1005789999999998</v>
      </c>
      <c r="AO92" s="260">
        <v>5.1240839999999999</v>
      </c>
      <c r="AP92" s="260">
        <v>5.1475669999999996</v>
      </c>
      <c r="AQ92" s="260">
        <v>5.1710289999999999</v>
      </c>
      <c r="AR92" s="260">
        <v>5.1944669999999995</v>
      </c>
      <c r="AS92" s="260">
        <v>5.2178819999999995</v>
      </c>
      <c r="AT92" s="260">
        <v>5.2412729999999996</v>
      </c>
      <c r="AU92" s="260">
        <v>5.2646389999999998</v>
      </c>
      <c r="AV92" s="260">
        <v>5.2879800000000001</v>
      </c>
      <c r="AW92" s="260">
        <v>5.3112949999999994</v>
      </c>
      <c r="AX92" s="260">
        <v>5.3345839999999995</v>
      </c>
      <c r="AY92" s="260">
        <v>5.3578459999999994</v>
      </c>
      <c r="AZ92" s="260">
        <v>5.3810799999999999</v>
      </c>
      <c r="BA92" s="260">
        <v>5.4042870000000001</v>
      </c>
      <c r="BB92" s="260">
        <v>5.4274649999999998</v>
      </c>
      <c r="BC92" s="260">
        <v>5.4506139999999998</v>
      </c>
      <c r="BD92" s="260">
        <v>5.4737339999999994</v>
      </c>
      <c r="BE92" s="260">
        <v>5.496823</v>
      </c>
      <c r="BF92" s="260">
        <v>5.5198830000000001</v>
      </c>
      <c r="BG92" s="260">
        <v>5.54291</v>
      </c>
      <c r="BH92" s="260">
        <v>5.5659070000000002</v>
      </c>
      <c r="BI92" s="260">
        <v>5.5888710000000001</v>
      </c>
      <c r="BJ92" s="260">
        <v>5.6118030000000001</v>
      </c>
      <c r="BK92" s="260">
        <v>5.6347019999999999</v>
      </c>
      <c r="BL92" s="260">
        <v>5.6575669999999993</v>
      </c>
      <c r="BM92" s="260">
        <v>5.6803979999999994</v>
      </c>
      <c r="BN92" s="260">
        <v>5.703195</v>
      </c>
      <c r="BO92" s="260">
        <v>5.7259569999999993</v>
      </c>
      <c r="BP92" s="260">
        <v>5.7486839999999999</v>
      </c>
      <c r="BQ92" s="260">
        <v>5.7713749999999999</v>
      </c>
      <c r="BR92" s="260">
        <v>5.7940299999999993</v>
      </c>
      <c r="BS92" s="260">
        <v>5.8166479999999998</v>
      </c>
      <c r="BT92" s="260">
        <v>5.8392289999999996</v>
      </c>
      <c r="BU92" s="260">
        <v>5.8617719999999993</v>
      </c>
      <c r="BV92" s="260">
        <v>5.8842780000000001</v>
      </c>
      <c r="BW92" s="260">
        <v>5.9067449999999999</v>
      </c>
      <c r="BX92" s="260">
        <v>5.9291729999999996</v>
      </c>
      <c r="BY92" s="260">
        <v>5.9515630000000002</v>
      </c>
      <c r="BZ92" s="260">
        <v>5.9739119999999994</v>
      </c>
      <c r="CA92" s="260">
        <v>5.9962219999999995</v>
      </c>
      <c r="CB92" s="260">
        <v>6.0184919999999993</v>
      </c>
      <c r="CC92" s="260">
        <v>6.0407209999999996</v>
      </c>
      <c r="CD92" s="260">
        <v>6.0629089999999994</v>
      </c>
      <c r="CE92" s="260">
        <v>6.0850549999999997</v>
      </c>
      <c r="CF92" s="260">
        <v>6.1071599999999995</v>
      </c>
      <c r="CG92" s="260">
        <v>6.1292229999999996</v>
      </c>
      <c r="CH92" s="260">
        <v>6.151243</v>
      </c>
    </row>
    <row r="93" spans="1:86" x14ac:dyDescent="0.25">
      <c r="A93" s="170">
        <v>1</v>
      </c>
      <c r="B93" s="170">
        <v>92</v>
      </c>
      <c r="C93" s="259">
        <v>3.786545991897583</v>
      </c>
      <c r="D93" s="259">
        <v>3.8002629280090332</v>
      </c>
      <c r="E93" s="259">
        <v>3.8139688968658447</v>
      </c>
      <c r="F93" s="259">
        <v>3.8276638984680176</v>
      </c>
      <c r="G93" s="259">
        <v>3.8413479328155518</v>
      </c>
      <c r="H93" s="259">
        <v>3.8550209999084473</v>
      </c>
      <c r="I93" s="260">
        <v>4.0762679999999998</v>
      </c>
      <c r="J93" s="260">
        <v>4.0967519999999995</v>
      </c>
      <c r="K93" s="260">
        <v>4.1173479999999998</v>
      </c>
      <c r="L93" s="260">
        <v>4.1380539999999995</v>
      </c>
      <c r="M93" s="260">
        <v>4.1588649999999996</v>
      </c>
      <c r="N93" s="260">
        <v>4.1797699999999995</v>
      </c>
      <c r="O93" s="260">
        <v>4.2007620000000001</v>
      </c>
      <c r="P93" s="260">
        <v>4.2218279999999995</v>
      </c>
      <c r="Q93" s="260">
        <v>4.242953</v>
      </c>
      <c r="R93" s="260">
        <v>4.2641239999999998</v>
      </c>
      <c r="S93" s="260">
        <v>4.2853259999999995</v>
      </c>
      <c r="T93" s="260">
        <v>4.306546</v>
      </c>
      <c r="U93" s="260">
        <v>4.3277709999999994</v>
      </c>
      <c r="V93" s="260">
        <v>4.3489939999999994</v>
      </c>
      <c r="W93" s="260">
        <v>4.3702100000000002</v>
      </c>
      <c r="X93" s="260">
        <v>4.391419</v>
      </c>
      <c r="Y93" s="260">
        <v>4.4126199999999995</v>
      </c>
      <c r="Z93" s="260">
        <v>4.4338139999999999</v>
      </c>
      <c r="AA93" s="260">
        <v>4.4549989999999999</v>
      </c>
      <c r="AB93" s="260">
        <v>4.4761739999999994</v>
      </c>
      <c r="AC93" s="260">
        <v>4.4973399999999994</v>
      </c>
      <c r="AD93" s="260">
        <v>4.5184959999999998</v>
      </c>
      <c r="AE93" s="260">
        <v>4.5396409999999996</v>
      </c>
      <c r="AF93" s="260">
        <v>4.5607749999999996</v>
      </c>
      <c r="AG93" s="260">
        <v>4.5818959999999995</v>
      </c>
      <c r="AH93" s="260">
        <v>4.6030059999999997</v>
      </c>
      <c r="AI93" s="260">
        <v>4.6241019999999997</v>
      </c>
      <c r="AJ93" s="260">
        <v>4.6451849999999997</v>
      </c>
      <c r="AK93" s="260">
        <v>4.6662539999999995</v>
      </c>
      <c r="AL93" s="260">
        <v>4.6873089999999999</v>
      </c>
      <c r="AM93" s="260">
        <v>4.7083490000000001</v>
      </c>
      <c r="AN93" s="260">
        <v>4.7293729999999998</v>
      </c>
      <c r="AO93" s="260">
        <v>4.750381</v>
      </c>
      <c r="AP93" s="260">
        <v>4.7713729999999996</v>
      </c>
      <c r="AQ93" s="260">
        <v>4.7923489999999997</v>
      </c>
      <c r="AR93" s="260">
        <v>4.8133059999999999</v>
      </c>
      <c r="AS93" s="260">
        <v>4.8342459999999994</v>
      </c>
      <c r="AT93" s="260">
        <v>4.8551679999999999</v>
      </c>
      <c r="AU93" s="260">
        <v>4.8760709999999996</v>
      </c>
      <c r="AV93" s="260">
        <v>4.896954</v>
      </c>
      <c r="AW93" s="260">
        <v>4.9178179999999996</v>
      </c>
      <c r="AX93" s="260">
        <v>4.9386619999999999</v>
      </c>
      <c r="AY93" s="260">
        <v>4.9594849999999999</v>
      </c>
      <c r="AZ93" s="260">
        <v>4.9802869999999997</v>
      </c>
      <c r="BA93" s="260">
        <v>5.0010669999999999</v>
      </c>
      <c r="BB93" s="260">
        <v>5.0218259999999999</v>
      </c>
      <c r="BC93" s="260">
        <v>5.0425620000000002</v>
      </c>
      <c r="BD93" s="260">
        <v>5.0632760000000001</v>
      </c>
      <c r="BE93" s="260">
        <v>5.0839660000000002</v>
      </c>
      <c r="BF93" s="260">
        <v>5.1046319999999996</v>
      </c>
      <c r="BG93" s="260">
        <v>5.1252749999999994</v>
      </c>
      <c r="BH93" s="260">
        <v>5.1458930000000001</v>
      </c>
      <c r="BI93" s="260">
        <v>5.1664859999999999</v>
      </c>
      <c r="BJ93" s="260">
        <v>5.1870539999999998</v>
      </c>
      <c r="BK93" s="260">
        <v>5.2075959999999997</v>
      </c>
      <c r="BL93" s="260">
        <v>5.2281119999999994</v>
      </c>
      <c r="BM93" s="260">
        <v>5.248602</v>
      </c>
      <c r="BN93" s="260">
        <v>5.2690640000000002</v>
      </c>
      <c r="BO93" s="260">
        <v>5.2894999999999994</v>
      </c>
      <c r="BP93" s="260">
        <v>5.3099080000000001</v>
      </c>
      <c r="BQ93" s="260">
        <v>5.3302879999999995</v>
      </c>
      <c r="BR93" s="260">
        <v>5.3506390000000001</v>
      </c>
      <c r="BS93" s="260">
        <v>5.3709619999999996</v>
      </c>
      <c r="BT93" s="260">
        <v>5.3912559999999994</v>
      </c>
      <c r="BU93" s="260">
        <v>5.4115199999999994</v>
      </c>
      <c r="BV93" s="260">
        <v>5.4317549999999999</v>
      </c>
      <c r="BW93" s="260">
        <v>5.4519589999999996</v>
      </c>
      <c r="BX93" s="260">
        <v>5.4721329999999995</v>
      </c>
      <c r="BY93" s="260">
        <v>5.4922759999999995</v>
      </c>
      <c r="BZ93" s="260">
        <v>5.5123879999999996</v>
      </c>
      <c r="CA93" s="260">
        <v>5.5324689999999999</v>
      </c>
      <c r="CB93" s="260">
        <v>5.5525169999999999</v>
      </c>
      <c r="CC93" s="260">
        <v>5.5725340000000001</v>
      </c>
      <c r="CD93" s="260">
        <v>5.5925180000000001</v>
      </c>
      <c r="CE93" s="260">
        <v>5.6124689999999999</v>
      </c>
      <c r="CF93" s="260">
        <v>5.6323879999999997</v>
      </c>
      <c r="CG93" s="260">
        <v>5.6522730000000001</v>
      </c>
      <c r="CH93" s="260">
        <v>5.6721240000000002</v>
      </c>
    </row>
    <row r="94" spans="1:86" x14ac:dyDescent="0.25">
      <c r="A94" s="170">
        <v>1</v>
      </c>
      <c r="B94" s="170">
        <v>93</v>
      </c>
      <c r="C94" s="259">
        <v>3.537553071975708</v>
      </c>
      <c r="D94" s="259">
        <v>3.5494210720062256</v>
      </c>
      <c r="E94" s="259">
        <v>3.5612759590148926</v>
      </c>
      <c r="F94" s="259">
        <v>3.5731189250946045</v>
      </c>
      <c r="G94" s="259">
        <v>3.5849499702453613</v>
      </c>
      <c r="H94" s="259">
        <v>3.5967679023742676</v>
      </c>
      <c r="I94" s="260">
        <v>3.800217</v>
      </c>
      <c r="J94" s="260">
        <v>3.8182989999999997</v>
      </c>
      <c r="K94" s="260">
        <v>3.8364819999999997</v>
      </c>
      <c r="L94" s="260">
        <v>3.854762</v>
      </c>
      <c r="M94" s="260">
        <v>3.8731359999999997</v>
      </c>
      <c r="N94" s="260">
        <v>3.891597</v>
      </c>
      <c r="O94" s="260">
        <v>3.9101369999999998</v>
      </c>
      <c r="P94" s="260">
        <v>3.9287449999999997</v>
      </c>
      <c r="Q94" s="260">
        <v>3.9474089999999999</v>
      </c>
      <c r="R94" s="260">
        <v>3.966116</v>
      </c>
      <c r="S94" s="260">
        <v>3.9848529999999998</v>
      </c>
      <c r="T94" s="260">
        <v>4.0036079999999998</v>
      </c>
      <c r="U94" s="260">
        <v>4.0223689999999994</v>
      </c>
      <c r="V94" s="260">
        <v>4.0411289999999997</v>
      </c>
      <c r="W94" s="260">
        <v>4.0598849999999995</v>
      </c>
      <c r="X94" s="260">
        <v>4.0786350000000002</v>
      </c>
      <c r="Y94" s="260">
        <v>4.0973800000000002</v>
      </c>
      <c r="Z94" s="260">
        <v>4.1161189999999994</v>
      </c>
      <c r="AA94" s="260">
        <v>4.1348519999999995</v>
      </c>
      <c r="AB94" s="260">
        <v>4.1535779999999995</v>
      </c>
      <c r="AC94" s="260">
        <v>4.1722969999999995</v>
      </c>
      <c r="AD94" s="260">
        <v>4.1910080000000001</v>
      </c>
      <c r="AE94" s="260">
        <v>4.2097109999999995</v>
      </c>
      <c r="AF94" s="260">
        <v>4.2284059999999997</v>
      </c>
      <c r="AG94" s="260">
        <v>4.2470919999999994</v>
      </c>
      <c r="AH94" s="260">
        <v>4.2657689999999997</v>
      </c>
      <c r="AI94" s="260">
        <v>4.2844359999999995</v>
      </c>
      <c r="AJ94" s="260">
        <v>4.3030929999999996</v>
      </c>
      <c r="AK94" s="260">
        <v>4.321739</v>
      </c>
      <c r="AL94" s="260">
        <v>4.3403749999999999</v>
      </c>
      <c r="AM94" s="260">
        <v>4.3589989999999998</v>
      </c>
      <c r="AN94" s="260">
        <v>4.3776120000000001</v>
      </c>
      <c r="AO94" s="260">
        <v>4.3962129999999995</v>
      </c>
      <c r="AP94" s="260">
        <v>4.4148009999999998</v>
      </c>
      <c r="AQ94" s="260">
        <v>4.4333770000000001</v>
      </c>
      <c r="AR94" s="260">
        <v>4.4519389999999994</v>
      </c>
      <c r="AS94" s="260">
        <v>4.4704879999999996</v>
      </c>
      <c r="AT94" s="260">
        <v>4.4890229999999995</v>
      </c>
      <c r="AU94" s="260">
        <v>4.5075430000000001</v>
      </c>
      <c r="AV94" s="260">
        <v>4.5260489999999995</v>
      </c>
      <c r="AW94" s="260">
        <v>4.5445399999999996</v>
      </c>
      <c r="AX94" s="260">
        <v>4.563015</v>
      </c>
      <c r="AY94" s="260">
        <v>4.5814750000000002</v>
      </c>
      <c r="AZ94" s="260">
        <v>4.5999179999999997</v>
      </c>
      <c r="BA94" s="260">
        <v>4.6183449999999997</v>
      </c>
      <c r="BB94" s="260">
        <v>4.636755</v>
      </c>
      <c r="BC94" s="260">
        <v>4.6551479999999996</v>
      </c>
      <c r="BD94" s="260">
        <v>4.6735239999999996</v>
      </c>
      <c r="BE94" s="260">
        <v>4.6918809999999995</v>
      </c>
      <c r="BF94" s="260">
        <v>4.7102209999999998</v>
      </c>
      <c r="BG94" s="260">
        <v>4.728542</v>
      </c>
      <c r="BH94" s="260">
        <v>4.7468439999999994</v>
      </c>
      <c r="BI94" s="260">
        <v>4.7651259999999995</v>
      </c>
      <c r="BJ94" s="260">
        <v>4.7833899999999998</v>
      </c>
      <c r="BK94" s="260">
        <v>4.8016329999999998</v>
      </c>
      <c r="BL94" s="260">
        <v>4.8198569999999998</v>
      </c>
      <c r="BM94" s="260">
        <v>4.8380589999999994</v>
      </c>
      <c r="BN94" s="260">
        <v>4.8562419999999999</v>
      </c>
      <c r="BO94" s="260">
        <v>4.874403</v>
      </c>
      <c r="BP94" s="260">
        <v>4.8925419999999997</v>
      </c>
      <c r="BQ94" s="260">
        <v>4.91066</v>
      </c>
      <c r="BR94" s="260">
        <v>4.9287559999999999</v>
      </c>
      <c r="BS94" s="260">
        <v>4.9468299999999994</v>
      </c>
      <c r="BT94" s="260">
        <v>4.9648810000000001</v>
      </c>
      <c r="BU94" s="260">
        <v>4.9829089999999994</v>
      </c>
      <c r="BV94" s="260">
        <v>5.0009139999999999</v>
      </c>
      <c r="BW94" s="260">
        <v>5.0188959999999998</v>
      </c>
      <c r="BX94" s="260">
        <v>5.0368529999999998</v>
      </c>
      <c r="BY94" s="260">
        <v>5.0547870000000001</v>
      </c>
      <c r="BZ94" s="260">
        <v>5.0726969999999998</v>
      </c>
      <c r="CA94" s="260">
        <v>5.0905819999999995</v>
      </c>
      <c r="CB94" s="260">
        <v>5.1084420000000001</v>
      </c>
      <c r="CC94" s="260">
        <v>5.126277</v>
      </c>
      <c r="CD94" s="260">
        <v>5.1440869999999999</v>
      </c>
      <c r="CE94" s="260">
        <v>5.1618709999999997</v>
      </c>
      <c r="CF94" s="260">
        <v>5.1796289999999994</v>
      </c>
      <c r="CG94" s="260">
        <v>5.197362</v>
      </c>
      <c r="CH94" s="260">
        <v>5.2150679999999996</v>
      </c>
    </row>
    <row r="95" spans="1:86" x14ac:dyDescent="0.25">
      <c r="A95" s="170">
        <v>1</v>
      </c>
      <c r="B95" s="170">
        <v>94</v>
      </c>
      <c r="C95" s="259">
        <v>3.302527904510498</v>
      </c>
      <c r="D95" s="259">
        <v>3.3121700286865234</v>
      </c>
      <c r="E95" s="259">
        <v>3.3218019008636475</v>
      </c>
      <c r="F95" s="259">
        <v>3.3314239978790283</v>
      </c>
      <c r="G95" s="259">
        <v>3.341033935546875</v>
      </c>
      <c r="H95" s="259">
        <v>3.3506340980529785</v>
      </c>
      <c r="I95" s="260">
        <v>3.5397379999999998</v>
      </c>
      <c r="J95" s="260">
        <v>3.5555479999999999</v>
      </c>
      <c r="K95" s="260">
        <v>3.5714439999999996</v>
      </c>
      <c r="L95" s="260">
        <v>3.5874279999999996</v>
      </c>
      <c r="M95" s="260">
        <v>3.6034949999999997</v>
      </c>
      <c r="N95" s="260">
        <v>3.6196379999999997</v>
      </c>
      <c r="O95" s="260">
        <v>3.635853</v>
      </c>
      <c r="P95" s="260">
        <v>3.652129</v>
      </c>
      <c r="Q95" s="260">
        <v>3.6684559999999999</v>
      </c>
      <c r="R95" s="260">
        <v>3.6848239999999999</v>
      </c>
      <c r="S95" s="260">
        <v>3.701219</v>
      </c>
      <c r="T95" s="260">
        <v>3.717632</v>
      </c>
      <c r="U95" s="260">
        <v>3.734051</v>
      </c>
      <c r="V95" s="260">
        <v>3.7504689999999998</v>
      </c>
      <c r="W95" s="260">
        <v>3.7668839999999997</v>
      </c>
      <c r="X95" s="260">
        <v>3.7832949999999999</v>
      </c>
      <c r="Y95" s="260">
        <v>3.7997019999999999</v>
      </c>
      <c r="Z95" s="260">
        <v>3.8161039999999997</v>
      </c>
      <c r="AA95" s="260">
        <v>3.8325019999999999</v>
      </c>
      <c r="AB95" s="260">
        <v>3.848894</v>
      </c>
      <c r="AC95" s="260">
        <v>3.865281</v>
      </c>
      <c r="AD95" s="260">
        <v>3.8816609999999998</v>
      </c>
      <c r="AE95" s="260">
        <v>3.8980359999999998</v>
      </c>
      <c r="AF95" s="260">
        <v>3.9144039999999998</v>
      </c>
      <c r="AG95" s="260">
        <v>3.9307659999999998</v>
      </c>
      <c r="AH95" s="260">
        <v>3.94712</v>
      </c>
      <c r="AI95" s="260">
        <v>3.9634669999999996</v>
      </c>
      <c r="AJ95" s="260">
        <v>3.979806</v>
      </c>
      <c r="AK95" s="260">
        <v>3.9961369999999996</v>
      </c>
      <c r="AL95" s="260">
        <v>4.0124599999999999</v>
      </c>
      <c r="AM95" s="260">
        <v>4.0287739999999994</v>
      </c>
      <c r="AN95" s="260">
        <v>4.0450789999999994</v>
      </c>
      <c r="AO95" s="260">
        <v>4.061375</v>
      </c>
      <c r="AP95" s="260">
        <v>4.077661</v>
      </c>
      <c r="AQ95" s="260">
        <v>4.0939379999999996</v>
      </c>
      <c r="AR95" s="260">
        <v>4.1102039999999995</v>
      </c>
      <c r="AS95" s="260">
        <v>4.1264599999999998</v>
      </c>
      <c r="AT95" s="260">
        <v>4.1427049999999994</v>
      </c>
      <c r="AU95" s="260">
        <v>4.1589390000000002</v>
      </c>
      <c r="AV95" s="260">
        <v>4.1751619999999994</v>
      </c>
      <c r="AW95" s="260">
        <v>4.1913739999999997</v>
      </c>
      <c r="AX95" s="260">
        <v>4.207573</v>
      </c>
      <c r="AY95" s="260">
        <v>4.2237599999999995</v>
      </c>
      <c r="AZ95" s="260">
        <v>4.239935</v>
      </c>
      <c r="BA95" s="260">
        <v>4.2560979999999997</v>
      </c>
      <c r="BB95" s="260">
        <v>4.2722470000000001</v>
      </c>
      <c r="BC95" s="260">
        <v>4.2883829999999996</v>
      </c>
      <c r="BD95" s="260">
        <v>4.3045059999999999</v>
      </c>
      <c r="BE95" s="260">
        <v>4.3206150000000001</v>
      </c>
      <c r="BF95" s="260">
        <v>4.3367100000000001</v>
      </c>
      <c r="BG95" s="260">
        <v>4.3527909999999999</v>
      </c>
      <c r="BH95" s="260">
        <v>4.3688570000000002</v>
      </c>
      <c r="BI95" s="260">
        <v>4.3849079999999994</v>
      </c>
      <c r="BJ95" s="260">
        <v>4.400944</v>
      </c>
      <c r="BK95" s="260">
        <v>4.4169649999999994</v>
      </c>
      <c r="BL95" s="260">
        <v>4.4329710000000002</v>
      </c>
      <c r="BM95" s="260">
        <v>4.4489609999999997</v>
      </c>
      <c r="BN95" s="260">
        <v>4.4649339999999995</v>
      </c>
      <c r="BO95" s="260">
        <v>4.4808919999999999</v>
      </c>
      <c r="BP95" s="260">
        <v>4.4968329999999996</v>
      </c>
      <c r="BQ95" s="260">
        <v>4.5127569999999997</v>
      </c>
      <c r="BR95" s="260">
        <v>4.528664</v>
      </c>
      <c r="BS95" s="260">
        <v>4.5445539999999998</v>
      </c>
      <c r="BT95" s="260">
        <v>4.5604269999999998</v>
      </c>
      <c r="BU95" s="260">
        <v>4.576282</v>
      </c>
      <c r="BV95" s="260">
        <v>4.5921189999999994</v>
      </c>
      <c r="BW95" s="260">
        <v>4.6079379999999999</v>
      </c>
      <c r="BX95" s="260">
        <v>4.6237389999999996</v>
      </c>
      <c r="BY95" s="260">
        <v>4.6395210000000002</v>
      </c>
      <c r="BZ95" s="260">
        <v>4.655284</v>
      </c>
      <c r="CA95" s="260">
        <v>4.6710279999999997</v>
      </c>
      <c r="CB95" s="260">
        <v>4.6867529999999995</v>
      </c>
      <c r="CC95" s="260">
        <v>4.7024590000000002</v>
      </c>
      <c r="CD95" s="260">
        <v>4.7181449999999998</v>
      </c>
      <c r="CE95" s="260">
        <v>4.7338110000000002</v>
      </c>
      <c r="CF95" s="260">
        <v>4.7494569999999996</v>
      </c>
      <c r="CG95" s="260">
        <v>4.7650829999999997</v>
      </c>
      <c r="CH95" s="260">
        <v>4.7806889999999997</v>
      </c>
    </row>
    <row r="96" spans="1:86" x14ac:dyDescent="0.25">
      <c r="A96" s="170">
        <v>1</v>
      </c>
      <c r="B96" s="170">
        <v>95</v>
      </c>
      <c r="C96" s="259">
        <v>3.0792479515075684</v>
      </c>
      <c r="D96" s="259">
        <v>3.0861179828643799</v>
      </c>
      <c r="E96" s="259">
        <v>3.092987060546875</v>
      </c>
      <c r="F96" s="259">
        <v>3.0998530387878418</v>
      </c>
      <c r="G96" s="259">
        <v>3.1067171096801758</v>
      </c>
      <c r="H96" s="259">
        <v>3.1135799884796143</v>
      </c>
      <c r="I96" s="260">
        <v>3.2944299999999997</v>
      </c>
      <c r="J96" s="260">
        <v>3.3080970000000001</v>
      </c>
      <c r="K96" s="260">
        <v>3.321841</v>
      </c>
      <c r="L96" s="260">
        <v>3.3356599999999998</v>
      </c>
      <c r="M96" s="260">
        <v>3.3495509999999999</v>
      </c>
      <c r="N96" s="260">
        <v>3.3635089999999996</v>
      </c>
      <c r="O96" s="260">
        <v>3.3775299999999997</v>
      </c>
      <c r="P96" s="260">
        <v>3.3916049999999998</v>
      </c>
      <c r="Q96" s="260">
        <v>3.405726</v>
      </c>
      <c r="R96" s="260">
        <v>3.419883</v>
      </c>
      <c r="S96" s="260">
        <v>3.4340660000000001</v>
      </c>
      <c r="T96" s="260">
        <v>3.448264</v>
      </c>
      <c r="U96" s="260">
        <v>3.4624679999999999</v>
      </c>
      <c r="V96" s="260">
        <v>3.4766719999999998</v>
      </c>
      <c r="W96" s="260">
        <v>3.4908739999999998</v>
      </c>
      <c r="X96" s="260">
        <v>3.505071</v>
      </c>
      <c r="Y96" s="260">
        <v>3.5192649999999999</v>
      </c>
      <c r="Z96" s="260">
        <v>3.5334559999999997</v>
      </c>
      <c r="AA96" s="260">
        <v>3.5476419999999997</v>
      </c>
      <c r="AB96" s="260">
        <v>3.5618239999999997</v>
      </c>
      <c r="AC96" s="260">
        <v>3.5760009999999998</v>
      </c>
      <c r="AD96" s="260">
        <v>3.5901739999999998</v>
      </c>
      <c r="AE96" s="260">
        <v>3.6043409999999998</v>
      </c>
      <c r="AF96" s="260">
        <v>3.618503</v>
      </c>
      <c r="AG96" s="260">
        <v>3.63266</v>
      </c>
      <c r="AH96" s="260">
        <v>3.646811</v>
      </c>
      <c r="AI96" s="260">
        <v>3.6609559999999997</v>
      </c>
      <c r="AJ96" s="260">
        <v>3.6750949999999998</v>
      </c>
      <c r="AK96" s="260">
        <v>3.6892269999999998</v>
      </c>
      <c r="AL96" s="260">
        <v>3.7033529999999999</v>
      </c>
      <c r="AM96" s="260">
        <v>3.7174709999999997</v>
      </c>
      <c r="AN96" s="260">
        <v>3.7315829999999997</v>
      </c>
      <c r="AO96" s="260">
        <v>3.7456879999999999</v>
      </c>
      <c r="AP96" s="260">
        <v>3.7597839999999998</v>
      </c>
      <c r="AQ96" s="260">
        <v>3.7738739999999997</v>
      </c>
      <c r="AR96" s="260">
        <v>3.7879549999999997</v>
      </c>
      <c r="AS96" s="260">
        <v>3.802028</v>
      </c>
      <c r="AT96" s="260">
        <v>3.8160919999999998</v>
      </c>
      <c r="AU96" s="260">
        <v>3.8301479999999999</v>
      </c>
      <c r="AV96" s="260">
        <v>3.844195</v>
      </c>
      <c r="AW96" s="260">
        <v>3.8582329999999998</v>
      </c>
      <c r="AX96" s="260">
        <v>3.8722619999999996</v>
      </c>
      <c r="AY96" s="260">
        <v>3.8862809999999999</v>
      </c>
      <c r="AZ96" s="260">
        <v>3.9002909999999997</v>
      </c>
      <c r="BA96" s="260">
        <v>3.9142899999999998</v>
      </c>
      <c r="BB96" s="260">
        <v>3.92828</v>
      </c>
      <c r="BC96" s="260">
        <v>3.9422599999999997</v>
      </c>
      <c r="BD96" s="260">
        <v>3.956229</v>
      </c>
      <c r="BE96" s="260">
        <v>3.9701869999999997</v>
      </c>
      <c r="BF96" s="260">
        <v>3.9841339999999996</v>
      </c>
      <c r="BG96" s="260">
        <v>3.9980709999999999</v>
      </c>
      <c r="BH96" s="260">
        <v>4.0119959999999999</v>
      </c>
      <c r="BI96" s="260">
        <v>4.0259089999999995</v>
      </c>
      <c r="BJ96" s="260">
        <v>4.0398109999999994</v>
      </c>
      <c r="BK96" s="260">
        <v>4.0537019999999995</v>
      </c>
      <c r="BL96" s="260">
        <v>4.0675799999999995</v>
      </c>
      <c r="BM96" s="260">
        <v>4.0814459999999997</v>
      </c>
      <c r="BN96" s="260">
        <v>4.0952989999999998</v>
      </c>
      <c r="BO96" s="260">
        <v>4.10914</v>
      </c>
      <c r="BP96" s="260">
        <v>4.1229689999999994</v>
      </c>
      <c r="BQ96" s="260">
        <v>4.1367839999999996</v>
      </c>
      <c r="BR96" s="260">
        <v>4.1505859999999997</v>
      </c>
      <c r="BS96" s="260">
        <v>4.1643749999999997</v>
      </c>
      <c r="BT96" s="260">
        <v>4.1781509999999997</v>
      </c>
      <c r="BU96" s="260">
        <v>4.1919129999999996</v>
      </c>
      <c r="BV96" s="260">
        <v>4.2056610000000001</v>
      </c>
      <c r="BW96" s="260">
        <v>4.2193949999999996</v>
      </c>
      <c r="BX96" s="260">
        <v>4.2331149999999997</v>
      </c>
      <c r="BY96" s="260">
        <v>4.2468209999999997</v>
      </c>
      <c r="BZ96" s="260">
        <v>4.2605119999999994</v>
      </c>
      <c r="CA96" s="260">
        <v>4.2741889999999998</v>
      </c>
      <c r="CB96" s="260">
        <v>4.2878509999999999</v>
      </c>
      <c r="CC96" s="260">
        <v>4.3014969999999995</v>
      </c>
      <c r="CD96" s="260">
        <v>4.3151289999999998</v>
      </c>
      <c r="CE96" s="260">
        <v>4.3287459999999998</v>
      </c>
      <c r="CF96" s="260">
        <v>4.3423470000000002</v>
      </c>
      <c r="CG96" s="260">
        <v>4.3559320000000001</v>
      </c>
      <c r="CH96" s="260">
        <v>4.3695019999999998</v>
      </c>
    </row>
    <row r="97" spans="1:86" x14ac:dyDescent="0.25">
      <c r="A97" s="170">
        <v>1</v>
      </c>
      <c r="B97" s="170">
        <v>96</v>
      </c>
      <c r="C97" s="259">
        <v>2.8809759616851807</v>
      </c>
      <c r="D97" s="259">
        <v>2.8870968818664551</v>
      </c>
      <c r="E97" s="259">
        <v>2.8932130336761475</v>
      </c>
      <c r="F97" s="259">
        <v>2.899324893951416</v>
      </c>
      <c r="G97" s="259">
        <v>2.9054329395294189</v>
      </c>
      <c r="H97" s="259">
        <v>2.9115359783172607</v>
      </c>
      <c r="I97" s="260">
        <v>3.064082</v>
      </c>
      <c r="J97" s="260">
        <v>3.0757399999999997</v>
      </c>
      <c r="K97" s="260">
        <v>3.0874630000000001</v>
      </c>
      <c r="L97" s="260">
        <v>3.0992500000000001</v>
      </c>
      <c r="M97" s="260">
        <v>3.111097</v>
      </c>
      <c r="N97" s="260">
        <v>3.1230039999999999</v>
      </c>
      <c r="O97" s="260">
        <v>3.1349639999999996</v>
      </c>
      <c r="P97" s="260">
        <v>3.14697</v>
      </c>
      <c r="Q97" s="260">
        <v>3.1590179999999997</v>
      </c>
      <c r="R97" s="260">
        <v>3.1710959999999999</v>
      </c>
      <c r="S97" s="260">
        <v>3.1831969999999998</v>
      </c>
      <c r="T97" s="260">
        <v>3.1953119999999999</v>
      </c>
      <c r="U97" s="260">
        <v>3.2074319999999998</v>
      </c>
      <c r="V97" s="260">
        <v>3.2195519999999997</v>
      </c>
      <c r="W97" s="260">
        <v>3.2316689999999997</v>
      </c>
      <c r="X97" s="260">
        <v>3.2437819999999999</v>
      </c>
      <c r="Y97" s="260">
        <v>3.2558919999999998</v>
      </c>
      <c r="Z97" s="260">
        <v>3.2679989999999997</v>
      </c>
      <c r="AA97" s="260">
        <v>3.2801009999999997</v>
      </c>
      <c r="AB97" s="260">
        <v>3.2921999999999998</v>
      </c>
      <c r="AC97" s="260">
        <v>3.3042949999999998</v>
      </c>
      <c r="AD97" s="260">
        <v>3.3163860000000001</v>
      </c>
      <c r="AE97" s="260">
        <v>3.3284719999999997</v>
      </c>
      <c r="AF97" s="260">
        <v>3.340554</v>
      </c>
      <c r="AG97" s="260">
        <v>3.3526309999999997</v>
      </c>
      <c r="AH97" s="260">
        <v>3.364703</v>
      </c>
      <c r="AI97" s="260">
        <v>3.37677</v>
      </c>
      <c r="AJ97" s="260">
        <v>3.3888309999999997</v>
      </c>
      <c r="AK97" s="260">
        <v>3.4008879999999997</v>
      </c>
      <c r="AL97" s="260">
        <v>3.412938</v>
      </c>
      <c r="AM97" s="260">
        <v>3.4249839999999998</v>
      </c>
      <c r="AN97" s="260">
        <v>3.4370229999999999</v>
      </c>
      <c r="AO97" s="260">
        <v>3.4490559999999997</v>
      </c>
      <c r="AP97" s="260">
        <v>3.4610829999999999</v>
      </c>
      <c r="AQ97" s="260">
        <v>3.4731039999999997</v>
      </c>
      <c r="AR97" s="260">
        <v>3.4851179999999999</v>
      </c>
      <c r="AS97" s="260">
        <v>3.4971259999999997</v>
      </c>
      <c r="AT97" s="260">
        <v>3.5091259999999997</v>
      </c>
      <c r="AU97" s="260">
        <v>3.5211199999999998</v>
      </c>
      <c r="AV97" s="260">
        <v>3.5331069999999998</v>
      </c>
      <c r="AW97" s="260">
        <v>3.5450869999999997</v>
      </c>
      <c r="AX97" s="260">
        <v>3.5570589999999997</v>
      </c>
      <c r="AY97" s="260">
        <v>3.5690230000000001</v>
      </c>
      <c r="AZ97" s="260">
        <v>3.5809799999999998</v>
      </c>
      <c r="BA97" s="260">
        <v>3.5929289999999998</v>
      </c>
      <c r="BB97" s="260">
        <v>3.60487</v>
      </c>
      <c r="BC97" s="260">
        <v>3.616803</v>
      </c>
      <c r="BD97" s="260">
        <v>3.6287279999999997</v>
      </c>
      <c r="BE97" s="260">
        <v>3.640644</v>
      </c>
      <c r="BF97" s="260">
        <v>3.652552</v>
      </c>
      <c r="BG97" s="260">
        <v>3.6644509999999997</v>
      </c>
      <c r="BH97" s="260">
        <v>3.6763409999999999</v>
      </c>
      <c r="BI97" s="260">
        <v>3.6882219999999997</v>
      </c>
      <c r="BJ97" s="260">
        <v>3.700094</v>
      </c>
      <c r="BK97" s="260">
        <v>3.711957</v>
      </c>
      <c r="BL97" s="260">
        <v>3.7238099999999998</v>
      </c>
      <c r="BM97" s="260">
        <v>3.7356539999999998</v>
      </c>
      <c r="BN97" s="260">
        <v>3.7474879999999997</v>
      </c>
      <c r="BO97" s="260">
        <v>3.7593129999999997</v>
      </c>
      <c r="BP97" s="260">
        <v>3.771128</v>
      </c>
      <c r="BQ97" s="260">
        <v>3.7829319999999997</v>
      </c>
      <c r="BR97" s="260">
        <v>3.794727</v>
      </c>
      <c r="BS97" s="260">
        <v>3.806511</v>
      </c>
      <c r="BT97" s="260">
        <v>3.8182849999999999</v>
      </c>
      <c r="BU97" s="260">
        <v>3.8300479999999997</v>
      </c>
      <c r="BV97" s="260">
        <v>3.8417999999999997</v>
      </c>
      <c r="BW97" s="260">
        <v>3.853542</v>
      </c>
      <c r="BX97" s="260">
        <v>3.8652729999999997</v>
      </c>
      <c r="BY97" s="260">
        <v>3.8769929999999997</v>
      </c>
      <c r="BZ97" s="260">
        <v>3.8887009999999997</v>
      </c>
      <c r="CA97" s="260">
        <v>3.900398</v>
      </c>
      <c r="CB97" s="260">
        <v>3.9120839999999997</v>
      </c>
      <c r="CC97" s="260">
        <v>3.923759</v>
      </c>
      <c r="CD97" s="260">
        <v>3.935422</v>
      </c>
      <c r="CE97" s="260">
        <v>3.9470729999999996</v>
      </c>
      <c r="CF97" s="260">
        <v>3.9587119999999998</v>
      </c>
      <c r="CG97" s="260">
        <v>3.9703389999999996</v>
      </c>
      <c r="CH97" s="260">
        <v>3.981954</v>
      </c>
    </row>
    <row r="98" spans="1:86" x14ac:dyDescent="0.25">
      <c r="A98" s="170">
        <v>1</v>
      </c>
      <c r="B98" s="170">
        <v>97</v>
      </c>
      <c r="C98" s="259">
        <v>2.6947429180145264</v>
      </c>
      <c r="D98" s="259">
        <v>2.6999421119689941</v>
      </c>
      <c r="E98" s="259">
        <v>2.7051339149475098</v>
      </c>
      <c r="F98" s="259">
        <v>2.710319995880127</v>
      </c>
      <c r="G98" s="259">
        <v>2.7154979705810547</v>
      </c>
      <c r="H98" s="259">
        <v>2.7206709384918213</v>
      </c>
      <c r="I98" s="260">
        <v>2.8479399999999999</v>
      </c>
      <c r="J98" s="260">
        <v>2.8577219999999999</v>
      </c>
      <c r="K98" s="260">
        <v>2.8675579999999998</v>
      </c>
      <c r="L98" s="260">
        <v>2.8774470000000001</v>
      </c>
      <c r="M98" s="260">
        <v>2.8873869999999999</v>
      </c>
      <c r="N98" s="260">
        <v>2.897376</v>
      </c>
      <c r="O98" s="260">
        <v>2.9074109999999997</v>
      </c>
      <c r="P98" s="260">
        <v>2.917484</v>
      </c>
      <c r="Q98" s="260">
        <v>2.9275919999999998</v>
      </c>
      <c r="R98" s="260">
        <v>2.9377269999999998</v>
      </c>
      <c r="S98" s="260">
        <v>2.9478819999999999</v>
      </c>
      <c r="T98" s="260">
        <v>2.9580469999999996</v>
      </c>
      <c r="U98" s="260">
        <v>2.9682169999999997</v>
      </c>
      <c r="V98" s="260">
        <v>2.9783869999999997</v>
      </c>
      <c r="W98" s="260">
        <v>2.988553</v>
      </c>
      <c r="X98" s="260">
        <v>2.9987159999999999</v>
      </c>
      <c r="Y98" s="260">
        <v>3.0088759999999999</v>
      </c>
      <c r="Z98" s="260">
        <v>3.0190329999999999</v>
      </c>
      <c r="AA98" s="260">
        <v>3.029185</v>
      </c>
      <c r="AB98" s="260">
        <v>3.0393339999999998</v>
      </c>
      <c r="AC98" s="260">
        <v>3.0494789999999998</v>
      </c>
      <c r="AD98" s="260">
        <v>3.0596209999999999</v>
      </c>
      <c r="AE98" s="260">
        <v>3.0697579999999998</v>
      </c>
      <c r="AF98" s="260">
        <v>3.0798909999999999</v>
      </c>
      <c r="AG98" s="260">
        <v>3.09002</v>
      </c>
      <c r="AH98" s="260">
        <v>3.1001439999999998</v>
      </c>
      <c r="AI98" s="260">
        <v>3.1102639999999999</v>
      </c>
      <c r="AJ98" s="260">
        <v>3.1203789999999998</v>
      </c>
      <c r="AK98" s="260">
        <v>3.13049</v>
      </c>
      <c r="AL98" s="260">
        <v>3.1405949999999998</v>
      </c>
      <c r="AM98" s="260">
        <v>3.1506959999999999</v>
      </c>
      <c r="AN98" s="260">
        <v>3.1607919999999998</v>
      </c>
      <c r="AO98" s="260">
        <v>3.1708819999999998</v>
      </c>
      <c r="AP98" s="260">
        <v>3.180968</v>
      </c>
      <c r="AQ98" s="260">
        <v>3.1910479999999999</v>
      </c>
      <c r="AR98" s="260">
        <v>3.2011219999999998</v>
      </c>
      <c r="AS98" s="260">
        <v>3.2111909999999999</v>
      </c>
      <c r="AT98" s="260">
        <v>3.2212540000000001</v>
      </c>
      <c r="AU98" s="260">
        <v>3.231312</v>
      </c>
      <c r="AV98" s="260">
        <v>3.2413629999999998</v>
      </c>
      <c r="AW98" s="260">
        <v>3.2514089999999998</v>
      </c>
      <c r="AX98" s="260">
        <v>3.2614489999999998</v>
      </c>
      <c r="AY98" s="260">
        <v>3.2714819999999998</v>
      </c>
      <c r="AZ98" s="260">
        <v>3.2815089999999998</v>
      </c>
      <c r="BA98" s="260">
        <v>3.2915299999999998</v>
      </c>
      <c r="BB98" s="260">
        <v>3.3015439999999998</v>
      </c>
      <c r="BC98" s="260">
        <v>3.3115519999999998</v>
      </c>
      <c r="BD98" s="260">
        <v>3.3215529999999998</v>
      </c>
      <c r="BE98" s="260">
        <v>3.331547</v>
      </c>
      <c r="BF98" s="260">
        <v>3.3415339999999998</v>
      </c>
      <c r="BG98" s="260">
        <v>3.351515</v>
      </c>
      <c r="BH98" s="260">
        <v>3.361488</v>
      </c>
      <c r="BI98" s="260">
        <v>3.371454</v>
      </c>
      <c r="BJ98" s="260">
        <v>3.3814129999999998</v>
      </c>
      <c r="BK98" s="260">
        <v>3.391365</v>
      </c>
      <c r="BL98" s="260">
        <v>3.4013089999999999</v>
      </c>
      <c r="BM98" s="260">
        <v>3.4112459999999998</v>
      </c>
      <c r="BN98" s="260">
        <v>3.4211749999999999</v>
      </c>
      <c r="BO98" s="260">
        <v>3.4310959999999997</v>
      </c>
      <c r="BP98" s="260">
        <v>3.4410099999999999</v>
      </c>
      <c r="BQ98" s="260">
        <v>3.4509159999999999</v>
      </c>
      <c r="BR98" s="260">
        <v>3.4608129999999999</v>
      </c>
      <c r="BS98" s="260">
        <v>3.4707029999999999</v>
      </c>
      <c r="BT98" s="260">
        <v>3.480585</v>
      </c>
      <c r="BU98" s="260">
        <v>3.4904579999999998</v>
      </c>
      <c r="BV98" s="260">
        <v>3.5003229999999999</v>
      </c>
      <c r="BW98" s="260">
        <v>3.5101799999999996</v>
      </c>
      <c r="BX98" s="260">
        <v>3.5200279999999999</v>
      </c>
      <c r="BY98" s="260">
        <v>3.5298669999999999</v>
      </c>
      <c r="BZ98" s="260">
        <v>3.539698</v>
      </c>
      <c r="CA98" s="260">
        <v>3.5495209999999999</v>
      </c>
      <c r="CB98" s="260">
        <v>3.5593339999999998</v>
      </c>
      <c r="CC98" s="260">
        <v>3.5691389999999998</v>
      </c>
      <c r="CD98" s="260">
        <v>3.5789339999999998</v>
      </c>
      <c r="CE98" s="260">
        <v>3.588721</v>
      </c>
      <c r="CF98" s="260">
        <v>3.5984979999999998</v>
      </c>
      <c r="CG98" s="260">
        <v>3.608266</v>
      </c>
      <c r="CH98" s="260">
        <v>3.6180249999999998</v>
      </c>
    </row>
    <row r="99" spans="1:86" x14ac:dyDescent="0.25">
      <c r="A99" s="170">
        <v>1</v>
      </c>
      <c r="B99" s="170">
        <v>98</v>
      </c>
      <c r="C99" s="259">
        <v>2.5192990303039551</v>
      </c>
      <c r="D99" s="259">
        <v>2.5233030319213867</v>
      </c>
      <c r="E99" s="259">
        <v>2.5272979736328125</v>
      </c>
      <c r="F99" s="259">
        <v>2.5312860012054443</v>
      </c>
      <c r="G99" s="259">
        <v>2.5352659225463867</v>
      </c>
      <c r="H99" s="259">
        <v>2.5392370223999023</v>
      </c>
      <c r="I99" s="260">
        <v>2.6454409999999999</v>
      </c>
      <c r="J99" s="260">
        <v>2.6534800000000001</v>
      </c>
      <c r="K99" s="260">
        <v>2.6615629999999997</v>
      </c>
      <c r="L99" s="260">
        <v>2.6696879999999998</v>
      </c>
      <c r="M99" s="260">
        <v>2.6778550000000001</v>
      </c>
      <c r="N99" s="260">
        <v>2.6860619999999997</v>
      </c>
      <c r="O99" s="260">
        <v>2.6943060000000001</v>
      </c>
      <c r="P99" s="260">
        <v>2.7025839999999999</v>
      </c>
      <c r="Q99" s="260">
        <v>2.7108889999999999</v>
      </c>
      <c r="R99" s="260">
        <v>2.7192159999999999</v>
      </c>
      <c r="S99" s="260">
        <v>2.72756</v>
      </c>
      <c r="T99" s="260">
        <v>2.7359139999999997</v>
      </c>
      <c r="U99" s="260">
        <v>2.7442699999999998</v>
      </c>
      <c r="V99" s="260">
        <v>2.7526259999999998</v>
      </c>
      <c r="W99" s="260">
        <v>2.7609779999999997</v>
      </c>
      <c r="X99" s="260">
        <v>2.7693270000000001</v>
      </c>
      <c r="Y99" s="260">
        <v>2.7776730000000001</v>
      </c>
      <c r="Z99" s="260">
        <v>2.7860149999999999</v>
      </c>
      <c r="AA99" s="260">
        <v>2.7943539999999998</v>
      </c>
      <c r="AB99" s="260">
        <v>2.802689</v>
      </c>
      <c r="AC99" s="260">
        <v>2.8110209999999998</v>
      </c>
      <c r="AD99" s="260">
        <v>2.8193479999999997</v>
      </c>
      <c r="AE99" s="260">
        <v>2.8276719999999997</v>
      </c>
      <c r="AF99" s="260">
        <v>2.8359920000000001</v>
      </c>
      <c r="AG99" s="260">
        <v>2.8443079999999998</v>
      </c>
      <c r="AH99" s="260">
        <v>2.8526199999999999</v>
      </c>
      <c r="AI99" s="260">
        <v>2.8609279999999999</v>
      </c>
      <c r="AJ99" s="260">
        <v>2.8692310000000001</v>
      </c>
      <c r="AK99" s="260">
        <v>2.8775309999999998</v>
      </c>
      <c r="AL99" s="260">
        <v>2.8858259999999998</v>
      </c>
      <c r="AM99" s="260">
        <v>2.8941159999999999</v>
      </c>
      <c r="AN99" s="260">
        <v>2.9024030000000001</v>
      </c>
      <c r="AO99" s="260">
        <v>2.9106839999999998</v>
      </c>
      <c r="AP99" s="260">
        <v>2.9189609999999999</v>
      </c>
      <c r="AQ99" s="260">
        <v>2.9272339999999999</v>
      </c>
      <c r="AR99" s="260">
        <v>2.9355020000000001</v>
      </c>
      <c r="AS99" s="260">
        <v>2.9437639999999998</v>
      </c>
      <c r="AT99" s="260">
        <v>2.9520230000000001</v>
      </c>
      <c r="AU99" s="260">
        <v>2.9602759999999999</v>
      </c>
      <c r="AV99" s="260">
        <v>2.9685239999999999</v>
      </c>
      <c r="AW99" s="260">
        <v>2.9767669999999997</v>
      </c>
      <c r="AX99" s="260">
        <v>2.9850049999999997</v>
      </c>
      <c r="AY99" s="260">
        <v>2.9932379999999998</v>
      </c>
      <c r="AZ99" s="260">
        <v>3.0014659999999997</v>
      </c>
      <c r="BA99" s="260">
        <v>3.0096879999999997</v>
      </c>
      <c r="BB99" s="260">
        <v>3.0179049999999998</v>
      </c>
      <c r="BC99" s="260">
        <v>3.026116</v>
      </c>
      <c r="BD99" s="260">
        <v>3.034322</v>
      </c>
      <c r="BE99" s="260">
        <v>3.0425229999999996</v>
      </c>
      <c r="BF99" s="260">
        <v>3.0507179999999998</v>
      </c>
      <c r="BG99" s="260">
        <v>3.058907</v>
      </c>
      <c r="BH99" s="260">
        <v>3.067091</v>
      </c>
      <c r="BI99" s="260">
        <v>3.0752679999999999</v>
      </c>
      <c r="BJ99" s="260">
        <v>3.08344</v>
      </c>
      <c r="BK99" s="260">
        <v>3.0916060000000001</v>
      </c>
      <c r="BL99" s="260">
        <v>3.0997659999999998</v>
      </c>
      <c r="BM99" s="260">
        <v>3.10792</v>
      </c>
      <c r="BN99" s="260">
        <v>3.1160679999999998</v>
      </c>
      <c r="BO99" s="260">
        <v>3.1242099999999997</v>
      </c>
      <c r="BP99" s="260">
        <v>3.1323449999999999</v>
      </c>
      <c r="BQ99" s="260">
        <v>3.1404749999999999</v>
      </c>
      <c r="BR99" s="260">
        <v>3.1485979999999998</v>
      </c>
      <c r="BS99" s="260">
        <v>3.156714</v>
      </c>
      <c r="BT99" s="260">
        <v>3.164825</v>
      </c>
      <c r="BU99" s="260">
        <v>3.1729279999999997</v>
      </c>
      <c r="BV99" s="260">
        <v>3.1810259999999997</v>
      </c>
      <c r="BW99" s="260">
        <v>3.1891159999999998</v>
      </c>
      <c r="BX99" s="260">
        <v>3.1972</v>
      </c>
      <c r="BY99" s="260">
        <v>3.2052779999999998</v>
      </c>
      <c r="BZ99" s="260">
        <v>3.2133479999999999</v>
      </c>
      <c r="CA99" s="260">
        <v>3.2214119999999999</v>
      </c>
      <c r="CB99" s="260">
        <v>3.2294689999999999</v>
      </c>
      <c r="CC99" s="260">
        <v>3.2375189999999998</v>
      </c>
      <c r="CD99" s="260">
        <v>3.2455620000000001</v>
      </c>
      <c r="CE99" s="260">
        <v>3.2535979999999998</v>
      </c>
      <c r="CF99" s="260">
        <v>3.2616269999999998</v>
      </c>
      <c r="CG99" s="260">
        <v>3.2696489999999998</v>
      </c>
      <c r="CH99" s="260">
        <v>3.2776639999999997</v>
      </c>
    </row>
    <row r="100" spans="1:86" x14ac:dyDescent="0.25">
      <c r="A100" s="170">
        <v>1</v>
      </c>
      <c r="B100" s="170">
        <v>99</v>
      </c>
      <c r="C100" s="259">
        <v>2.3531119823455811</v>
      </c>
      <c r="D100" s="259">
        <v>2.3554799556732178</v>
      </c>
      <c r="E100" s="259">
        <v>2.3578400611877441</v>
      </c>
      <c r="F100" s="259">
        <v>2.3601930141448975</v>
      </c>
      <c r="G100" s="259">
        <v>2.3625390529632568</v>
      </c>
      <c r="H100" s="259">
        <v>2.3648779392242432</v>
      </c>
      <c r="I100" s="260">
        <v>2.45601</v>
      </c>
      <c r="J100" s="260">
        <v>2.4624389999999998</v>
      </c>
      <c r="K100" s="260">
        <v>2.4689009999999998</v>
      </c>
      <c r="L100" s="260">
        <v>2.4753970000000001</v>
      </c>
      <c r="M100" s="260">
        <v>2.4819260000000001</v>
      </c>
      <c r="N100" s="260">
        <v>2.4884869999999997</v>
      </c>
      <c r="O100" s="260">
        <v>2.4950769999999998</v>
      </c>
      <c r="P100" s="260">
        <v>2.5016929999999999</v>
      </c>
      <c r="Q100" s="260">
        <v>2.5083319999999998</v>
      </c>
      <c r="R100" s="260">
        <v>2.5149889999999999</v>
      </c>
      <c r="S100" s="260">
        <v>2.521658</v>
      </c>
      <c r="T100" s="260">
        <v>2.5283370000000001</v>
      </c>
      <c r="U100" s="260">
        <v>2.5350169999999999</v>
      </c>
      <c r="V100" s="260">
        <v>2.5416949999999998</v>
      </c>
      <c r="W100" s="260">
        <v>2.5483709999999999</v>
      </c>
      <c r="X100" s="260">
        <v>2.555043</v>
      </c>
      <c r="Y100" s="260">
        <v>2.5617109999999998</v>
      </c>
      <c r="Z100" s="260">
        <v>2.5683759999999998</v>
      </c>
      <c r="AA100" s="260">
        <v>2.5750379999999997</v>
      </c>
      <c r="AB100" s="260">
        <v>2.5816969999999997</v>
      </c>
      <c r="AC100" s="260">
        <v>2.588352</v>
      </c>
      <c r="AD100" s="260">
        <v>2.5950029999999997</v>
      </c>
      <c r="AE100" s="260">
        <v>2.6016509999999999</v>
      </c>
      <c r="AF100" s="260">
        <v>2.608295</v>
      </c>
      <c r="AG100" s="260">
        <v>2.614935</v>
      </c>
      <c r="AH100" s="260">
        <v>2.621572</v>
      </c>
      <c r="AI100" s="260">
        <v>2.6282049999999999</v>
      </c>
      <c r="AJ100" s="260">
        <v>2.6348339999999997</v>
      </c>
      <c r="AK100" s="260">
        <v>2.6414599999999999</v>
      </c>
      <c r="AL100" s="260">
        <v>2.6480809999999999</v>
      </c>
      <c r="AM100" s="260">
        <v>2.6546989999999999</v>
      </c>
      <c r="AN100" s="260">
        <v>2.6613119999999997</v>
      </c>
      <c r="AO100" s="260">
        <v>2.6679219999999999</v>
      </c>
      <c r="AP100" s="260">
        <v>2.674528</v>
      </c>
      <c r="AQ100" s="260">
        <v>2.6811289999999999</v>
      </c>
      <c r="AR100" s="260">
        <v>2.6877269999999998</v>
      </c>
      <c r="AS100" s="260">
        <v>2.6943199999999998</v>
      </c>
      <c r="AT100" s="260">
        <v>2.7009089999999998</v>
      </c>
      <c r="AU100" s="260">
        <v>2.7074940000000001</v>
      </c>
      <c r="AV100" s="260">
        <v>2.7140749999999998</v>
      </c>
      <c r="AW100" s="260">
        <v>2.7206519999999998</v>
      </c>
      <c r="AX100" s="260">
        <v>2.7272240000000001</v>
      </c>
      <c r="AY100" s="260">
        <v>2.7337919999999998</v>
      </c>
      <c r="AZ100" s="260">
        <v>2.7403550000000001</v>
      </c>
      <c r="BA100" s="260">
        <v>2.7469139999999999</v>
      </c>
      <c r="BB100" s="260">
        <v>2.7534679999999998</v>
      </c>
      <c r="BC100" s="260">
        <v>2.7600180000000001</v>
      </c>
      <c r="BD100" s="260">
        <v>2.7665639999999998</v>
      </c>
      <c r="BE100" s="260">
        <v>2.7731049999999997</v>
      </c>
      <c r="BF100" s="260">
        <v>2.7796409999999998</v>
      </c>
      <c r="BG100" s="260">
        <v>2.7861729999999998</v>
      </c>
      <c r="BH100" s="260">
        <v>2.7927</v>
      </c>
      <c r="BI100" s="260">
        <v>2.7992219999999999</v>
      </c>
      <c r="BJ100" s="260">
        <v>2.805739</v>
      </c>
      <c r="BK100" s="260">
        <v>2.812252</v>
      </c>
      <c r="BL100" s="260">
        <v>2.8187599999999997</v>
      </c>
      <c r="BM100" s="260">
        <v>2.8252630000000001</v>
      </c>
      <c r="BN100" s="260">
        <v>2.8317609999999998</v>
      </c>
      <c r="BO100" s="260">
        <v>2.8382549999999998</v>
      </c>
      <c r="BP100" s="260">
        <v>2.8447429999999998</v>
      </c>
      <c r="BQ100" s="260">
        <v>2.851226</v>
      </c>
      <c r="BR100" s="260">
        <v>2.8577049999999997</v>
      </c>
      <c r="BS100" s="260">
        <v>2.8641779999999999</v>
      </c>
      <c r="BT100" s="260">
        <v>2.8706459999999998</v>
      </c>
      <c r="BU100" s="260">
        <v>2.8771100000000001</v>
      </c>
      <c r="BV100" s="260">
        <v>2.8835679999999999</v>
      </c>
      <c r="BW100" s="260">
        <v>2.8900199999999998</v>
      </c>
      <c r="BX100" s="260">
        <v>2.896468</v>
      </c>
      <c r="BY100" s="260">
        <v>2.902911</v>
      </c>
      <c r="BZ100" s="260">
        <v>2.909348</v>
      </c>
      <c r="CA100" s="260">
        <v>2.9157799999999998</v>
      </c>
      <c r="CB100" s="260">
        <v>2.9222060000000001</v>
      </c>
      <c r="CC100" s="260">
        <v>2.9286279999999998</v>
      </c>
      <c r="CD100" s="260">
        <v>2.9350429999999998</v>
      </c>
      <c r="CE100" s="260">
        <v>2.9414539999999998</v>
      </c>
      <c r="CF100" s="260">
        <v>2.9478589999999998</v>
      </c>
      <c r="CG100" s="260">
        <v>2.9542579999999998</v>
      </c>
      <c r="CH100" s="260">
        <v>2.9606520000000001</v>
      </c>
    </row>
    <row r="101" spans="1:86" x14ac:dyDescent="0.25">
      <c r="A101" s="170">
        <v>1</v>
      </c>
      <c r="B101" s="170">
        <v>100</v>
      </c>
      <c r="C101" s="259">
        <v>2.194242000579834</v>
      </c>
      <c r="D101" s="259">
        <v>2.194242000579834</v>
      </c>
      <c r="E101" s="259">
        <v>2.194242000579834</v>
      </c>
      <c r="F101" s="259">
        <v>2.194242000579834</v>
      </c>
      <c r="G101" s="259">
        <v>2.194242000579834</v>
      </c>
      <c r="H101" s="259">
        <v>2.194242000579834</v>
      </c>
      <c r="I101" s="260">
        <v>2.2790650000000001</v>
      </c>
      <c r="J101" s="260">
        <v>2.2840149999999997</v>
      </c>
      <c r="K101" s="260">
        <v>2.2889909999999998</v>
      </c>
      <c r="L101" s="260">
        <v>2.2939929999999999</v>
      </c>
      <c r="M101" s="260">
        <v>2.2990189999999999</v>
      </c>
      <c r="N101" s="260">
        <v>2.3040689999999997</v>
      </c>
      <c r="O101" s="260">
        <v>2.309142</v>
      </c>
      <c r="P101" s="260">
        <v>2.3142339999999999</v>
      </c>
      <c r="Q101" s="260">
        <v>2.3193449999999998</v>
      </c>
      <c r="R101" s="260">
        <v>2.3244689999999997</v>
      </c>
      <c r="S101" s="260">
        <v>2.3296030000000001</v>
      </c>
      <c r="T101" s="260">
        <v>2.334743</v>
      </c>
      <c r="U101" s="260">
        <v>2.3398849999999998</v>
      </c>
      <c r="V101" s="260">
        <v>2.3450259999999998</v>
      </c>
      <c r="W101" s="260">
        <v>2.3501629999999998</v>
      </c>
      <c r="X101" s="260">
        <v>2.3552969999999998</v>
      </c>
      <c r="Y101" s="260">
        <v>2.3604279999999997</v>
      </c>
      <c r="Z101" s="260">
        <v>2.3655559999999998</v>
      </c>
      <c r="AA101" s="260">
        <v>2.3706799999999997</v>
      </c>
      <c r="AB101" s="260">
        <v>2.3758019999999997</v>
      </c>
      <c r="AC101" s="260">
        <v>2.3809199999999997</v>
      </c>
      <c r="AD101" s="260">
        <v>2.3860359999999998</v>
      </c>
      <c r="AE101" s="260">
        <v>2.3911479999999998</v>
      </c>
      <c r="AF101" s="260">
        <v>2.3962559999999997</v>
      </c>
      <c r="AG101" s="260">
        <v>2.4013619999999998</v>
      </c>
      <c r="AH101" s="260">
        <v>2.4064639999999997</v>
      </c>
      <c r="AI101" s="260">
        <v>2.4115629999999997</v>
      </c>
      <c r="AJ101" s="260">
        <v>2.416658</v>
      </c>
      <c r="AK101" s="260">
        <v>2.421751</v>
      </c>
      <c r="AL101" s="260">
        <v>2.4268389999999997</v>
      </c>
      <c r="AM101" s="260">
        <v>2.4319249999999997</v>
      </c>
      <c r="AN101" s="260">
        <v>2.4370069999999999</v>
      </c>
      <c r="AO101" s="260">
        <v>2.4420859999999998</v>
      </c>
      <c r="AP101" s="260">
        <v>2.4471609999999999</v>
      </c>
      <c r="AQ101" s="260">
        <v>2.4522330000000001</v>
      </c>
      <c r="AR101" s="260">
        <v>2.4573009999999997</v>
      </c>
      <c r="AS101" s="260">
        <v>2.4623659999999998</v>
      </c>
      <c r="AT101" s="260">
        <v>2.4674269999999998</v>
      </c>
      <c r="AU101" s="260">
        <v>2.4724849999999998</v>
      </c>
      <c r="AV101" s="260">
        <v>2.4775389999999997</v>
      </c>
      <c r="AW101" s="260">
        <v>2.4825900000000001</v>
      </c>
      <c r="AX101" s="260">
        <v>2.4876369999999999</v>
      </c>
      <c r="AY101" s="260">
        <v>2.49268</v>
      </c>
      <c r="AZ101" s="260">
        <v>2.4977199999999997</v>
      </c>
      <c r="BA101" s="260">
        <v>2.5027559999999998</v>
      </c>
      <c r="BB101" s="260">
        <v>2.5077889999999998</v>
      </c>
      <c r="BC101" s="260">
        <v>2.5128179999999998</v>
      </c>
      <c r="BD101" s="260">
        <v>2.5178430000000001</v>
      </c>
      <c r="BE101" s="260">
        <v>2.5228649999999999</v>
      </c>
      <c r="BF101" s="260">
        <v>2.527882</v>
      </c>
      <c r="BG101" s="260">
        <v>2.532896</v>
      </c>
      <c r="BH101" s="260">
        <v>2.5379069999999997</v>
      </c>
      <c r="BI101" s="260">
        <v>2.542913</v>
      </c>
      <c r="BJ101" s="260">
        <v>2.5479159999999998</v>
      </c>
      <c r="BK101" s="260">
        <v>2.552915</v>
      </c>
      <c r="BL101" s="260">
        <v>2.5579099999999997</v>
      </c>
      <c r="BM101" s="260">
        <v>2.5629010000000001</v>
      </c>
      <c r="BN101" s="260">
        <v>2.5678879999999999</v>
      </c>
      <c r="BO101" s="260">
        <v>2.5728719999999998</v>
      </c>
      <c r="BP101" s="260">
        <v>2.5778509999999999</v>
      </c>
      <c r="BQ101" s="260">
        <v>2.582827</v>
      </c>
      <c r="BR101" s="260">
        <v>2.587799</v>
      </c>
      <c r="BS101" s="260">
        <v>2.5927669999999998</v>
      </c>
      <c r="BT101" s="260">
        <v>2.597731</v>
      </c>
      <c r="BU101" s="260">
        <v>2.6026899999999999</v>
      </c>
      <c r="BV101" s="260">
        <v>2.6076459999999999</v>
      </c>
      <c r="BW101" s="260">
        <v>2.6125979999999998</v>
      </c>
      <c r="BX101" s="260">
        <v>2.6175459999999999</v>
      </c>
      <c r="BY101" s="260">
        <v>2.62249</v>
      </c>
      <c r="BZ101" s="260">
        <v>2.6274299999999999</v>
      </c>
      <c r="CA101" s="260">
        <v>2.6323659999999998</v>
      </c>
      <c r="CB101" s="260">
        <v>2.6372969999999998</v>
      </c>
      <c r="CC101" s="260">
        <v>2.6422249999999998</v>
      </c>
      <c r="CD101" s="260">
        <v>2.6471489999999998</v>
      </c>
      <c r="CE101" s="260">
        <v>2.6520679999999999</v>
      </c>
      <c r="CF101" s="260">
        <v>2.6569829999999999</v>
      </c>
      <c r="CG101" s="260">
        <v>2.6618939999999998</v>
      </c>
      <c r="CH101" s="260">
        <v>2.666801</v>
      </c>
    </row>
    <row r="102" spans="1:86" x14ac:dyDescent="0.25">
      <c r="A102" s="170">
        <v>1</v>
      </c>
      <c r="B102" s="170">
        <v>101</v>
      </c>
      <c r="C102" s="259">
        <v>2.0622570514678955</v>
      </c>
      <c r="D102" s="259">
        <v>2.0622570514678955</v>
      </c>
      <c r="E102" s="259">
        <v>2.0622570514678955</v>
      </c>
      <c r="F102" s="259">
        <v>2.0622570514678955</v>
      </c>
      <c r="G102" s="259">
        <v>2.0622570514678955</v>
      </c>
      <c r="H102" s="259">
        <v>2.0622570514678955</v>
      </c>
      <c r="I102" s="260">
        <v>2.114007</v>
      </c>
      <c r="J102" s="260">
        <v>2.1176140000000001</v>
      </c>
      <c r="K102" s="260">
        <v>2.1212390000000001</v>
      </c>
      <c r="L102" s="260">
        <v>2.1248819999999999</v>
      </c>
      <c r="M102" s="260">
        <v>2.1285430000000001</v>
      </c>
      <c r="N102" s="260">
        <v>2.1322220000000001</v>
      </c>
      <c r="O102" s="260">
        <v>2.1359159999999999</v>
      </c>
      <c r="P102" s="260">
        <v>2.1396250000000001</v>
      </c>
      <c r="Q102" s="260">
        <v>2.1433469999999999</v>
      </c>
      <c r="R102" s="260">
        <v>2.1470789999999997</v>
      </c>
      <c r="S102" s="260">
        <v>2.1508189999999998</v>
      </c>
      <c r="T102" s="260">
        <v>2.154563</v>
      </c>
      <c r="U102" s="260">
        <v>2.1583079999999999</v>
      </c>
      <c r="V102" s="260">
        <v>2.1620520000000001</v>
      </c>
      <c r="W102" s="260">
        <v>2.165794</v>
      </c>
      <c r="X102" s="260">
        <v>2.1695319999999998</v>
      </c>
      <c r="Y102" s="260">
        <v>2.1732689999999999</v>
      </c>
      <c r="Z102" s="260">
        <v>2.1770019999999999</v>
      </c>
      <c r="AA102" s="260">
        <v>2.180733</v>
      </c>
      <c r="AB102" s="260">
        <v>2.1844609999999998</v>
      </c>
      <c r="AC102" s="260">
        <v>2.1881870000000001</v>
      </c>
      <c r="AD102" s="260">
        <v>2.19191</v>
      </c>
      <c r="AE102" s="260">
        <v>2.19563</v>
      </c>
      <c r="AF102" s="260">
        <v>2.1993469999999999</v>
      </c>
      <c r="AG102" s="260">
        <v>2.2030620000000001</v>
      </c>
      <c r="AH102" s="260">
        <v>2.2067739999999998</v>
      </c>
      <c r="AI102" s="260">
        <v>2.2104840000000001</v>
      </c>
      <c r="AJ102" s="260">
        <v>2.2141899999999999</v>
      </c>
      <c r="AK102" s="260">
        <v>2.2178939999999998</v>
      </c>
      <c r="AL102" s="260">
        <v>2.2215959999999999</v>
      </c>
      <c r="AM102" s="260">
        <v>2.2252939999999999</v>
      </c>
      <c r="AN102" s="260">
        <v>2.22899</v>
      </c>
      <c r="AO102" s="260">
        <v>2.2326829999999998</v>
      </c>
      <c r="AP102" s="260">
        <v>2.2363729999999999</v>
      </c>
      <c r="AQ102" s="260">
        <v>2.2400609999999999</v>
      </c>
      <c r="AR102" s="260">
        <v>2.2437459999999998</v>
      </c>
      <c r="AS102" s="260">
        <v>2.2474279999999998</v>
      </c>
      <c r="AT102" s="260">
        <v>2.2511069999999997</v>
      </c>
      <c r="AU102" s="260">
        <v>2.2547829999999998</v>
      </c>
      <c r="AV102" s="260">
        <v>2.2584569999999999</v>
      </c>
      <c r="AW102" s="260">
        <v>2.2621279999999997</v>
      </c>
      <c r="AX102" s="260">
        <v>2.2657959999999999</v>
      </c>
      <c r="AY102" s="260">
        <v>2.2694609999999997</v>
      </c>
      <c r="AZ102" s="260">
        <v>2.273123</v>
      </c>
      <c r="BA102" s="260">
        <v>2.276783</v>
      </c>
      <c r="BB102" s="260">
        <v>2.2804389999999999</v>
      </c>
      <c r="BC102" s="260">
        <v>2.2840929999999999</v>
      </c>
      <c r="BD102" s="260">
        <v>2.287744</v>
      </c>
      <c r="BE102" s="260">
        <v>2.2913920000000001</v>
      </c>
      <c r="BF102" s="260">
        <v>2.2950379999999999</v>
      </c>
      <c r="BG102" s="260">
        <v>2.2986800000000001</v>
      </c>
      <c r="BH102" s="260">
        <v>2.3023189999999998</v>
      </c>
      <c r="BI102" s="260">
        <v>2.3059560000000001</v>
      </c>
      <c r="BJ102" s="260">
        <v>2.30959</v>
      </c>
      <c r="BK102" s="260">
        <v>2.313221</v>
      </c>
      <c r="BL102" s="260">
        <v>2.3168489999999999</v>
      </c>
      <c r="BM102" s="260">
        <v>2.3204739999999999</v>
      </c>
      <c r="BN102" s="260">
        <v>2.3240959999999999</v>
      </c>
      <c r="BO102" s="260">
        <v>2.327715</v>
      </c>
      <c r="BP102" s="260">
        <v>2.331331</v>
      </c>
      <c r="BQ102" s="260">
        <v>2.3349439999999997</v>
      </c>
      <c r="BR102" s="260">
        <v>2.3385549999999999</v>
      </c>
      <c r="BS102" s="260">
        <v>2.3421620000000001</v>
      </c>
      <c r="BT102" s="260">
        <v>2.3457669999999999</v>
      </c>
      <c r="BU102" s="260">
        <v>2.3493679999999997</v>
      </c>
      <c r="BV102" s="260">
        <v>2.352967</v>
      </c>
      <c r="BW102" s="260">
        <v>2.3565619999999998</v>
      </c>
      <c r="BX102" s="260">
        <v>2.3601549999999998</v>
      </c>
      <c r="BY102" s="260">
        <v>2.3637449999999998</v>
      </c>
      <c r="BZ102" s="260">
        <v>2.3673310000000001</v>
      </c>
      <c r="CA102" s="260">
        <v>2.3709150000000001</v>
      </c>
      <c r="CB102" s="260">
        <v>2.3744959999999997</v>
      </c>
      <c r="CC102" s="260">
        <v>2.3780730000000001</v>
      </c>
      <c r="CD102" s="260">
        <v>2.3816479999999998</v>
      </c>
      <c r="CE102" s="260">
        <v>2.3852199999999999</v>
      </c>
      <c r="CF102" s="260">
        <v>2.3887879999999999</v>
      </c>
      <c r="CG102" s="260">
        <v>2.3923540000000001</v>
      </c>
      <c r="CH102" s="260">
        <v>2.3959169999999999</v>
      </c>
    </row>
    <row r="103" spans="1:86" x14ac:dyDescent="0.25">
      <c r="A103" s="170">
        <v>1</v>
      </c>
      <c r="B103" s="170">
        <v>102</v>
      </c>
      <c r="C103" s="259">
        <v>1.9394580125808716</v>
      </c>
      <c r="D103" s="259">
        <v>1.9394580125808716</v>
      </c>
      <c r="E103" s="259">
        <v>1.9394580125808716</v>
      </c>
      <c r="F103" s="259">
        <v>1.9394580125808716</v>
      </c>
      <c r="G103" s="259">
        <v>1.9394580125808716</v>
      </c>
      <c r="H103" s="259">
        <v>1.9394580125808716</v>
      </c>
      <c r="I103" s="260">
        <v>1.9602169999999999</v>
      </c>
      <c r="J103" s="260">
        <v>1.9626219999999999</v>
      </c>
      <c r="K103" s="260">
        <v>1.9650399999999999</v>
      </c>
      <c r="L103" s="260">
        <v>1.9674699999999998</v>
      </c>
      <c r="M103" s="260">
        <v>1.969911</v>
      </c>
      <c r="N103" s="260">
        <v>1.9723629999999999</v>
      </c>
      <c r="O103" s="260">
        <v>1.974826</v>
      </c>
      <c r="P103" s="260">
        <v>1.9772989999999999</v>
      </c>
      <c r="Q103" s="260">
        <v>1.979781</v>
      </c>
      <c r="R103" s="260">
        <v>1.98227</v>
      </c>
      <c r="S103" s="260">
        <v>1.984764</v>
      </c>
      <c r="T103" s="260">
        <v>1.9872609999999999</v>
      </c>
      <c r="U103" s="260">
        <v>1.9897589999999998</v>
      </c>
      <c r="V103" s="260">
        <v>1.9922559999999998</v>
      </c>
      <c r="W103" s="260">
        <v>1.9947509999999999</v>
      </c>
      <c r="X103" s="260">
        <v>1.997244</v>
      </c>
      <c r="Y103" s="260">
        <v>1.9997349999999998</v>
      </c>
      <c r="Z103" s="260">
        <v>2.002224</v>
      </c>
      <c r="AA103" s="260">
        <v>2.0047109999999999</v>
      </c>
      <c r="AB103" s="260">
        <v>2.0071970000000001</v>
      </c>
      <c r="AC103" s="260">
        <v>2.0096799999999999</v>
      </c>
      <c r="AD103" s="260">
        <v>2.0121609999999999</v>
      </c>
      <c r="AE103" s="260">
        <v>2.0146410000000001</v>
      </c>
      <c r="AF103" s="260">
        <v>2.017118</v>
      </c>
      <c r="AG103" s="260">
        <v>2.0195940000000001</v>
      </c>
      <c r="AH103" s="260">
        <v>2.0220669999999998</v>
      </c>
      <c r="AI103" s="260">
        <v>2.0245389999999999</v>
      </c>
      <c r="AJ103" s="260">
        <v>2.0270090000000001</v>
      </c>
      <c r="AK103" s="260">
        <v>2.0294759999999998</v>
      </c>
      <c r="AL103" s="260">
        <v>2.0319419999999999</v>
      </c>
      <c r="AM103" s="260">
        <v>2.0344059999999997</v>
      </c>
      <c r="AN103" s="260">
        <v>2.0368680000000001</v>
      </c>
      <c r="AO103" s="260">
        <v>2.0393279999999998</v>
      </c>
      <c r="AP103" s="260">
        <v>2.0417860000000001</v>
      </c>
      <c r="AQ103" s="260">
        <v>2.0442420000000001</v>
      </c>
      <c r="AR103" s="260">
        <v>2.0466959999999998</v>
      </c>
      <c r="AS103" s="260">
        <v>2.0491479999999997</v>
      </c>
      <c r="AT103" s="260">
        <v>2.0515979999999998</v>
      </c>
      <c r="AU103" s="260">
        <v>2.054046</v>
      </c>
      <c r="AV103" s="260">
        <v>2.056492</v>
      </c>
      <c r="AW103" s="260">
        <v>2.0589360000000001</v>
      </c>
      <c r="AX103" s="260">
        <v>2.0613790000000001</v>
      </c>
      <c r="AY103" s="260">
        <v>2.0638190000000001</v>
      </c>
      <c r="AZ103" s="260">
        <v>2.0662569999999998</v>
      </c>
      <c r="BA103" s="260">
        <v>2.0686930000000001</v>
      </c>
      <c r="BB103" s="260">
        <v>2.0711279999999999</v>
      </c>
      <c r="BC103" s="260">
        <v>2.0735600000000001</v>
      </c>
      <c r="BD103" s="260">
        <v>2.0759909999999997</v>
      </c>
      <c r="BE103" s="260">
        <v>2.0784189999999998</v>
      </c>
      <c r="BF103" s="260">
        <v>2.0808450000000001</v>
      </c>
      <c r="BG103" s="260">
        <v>2.0832699999999997</v>
      </c>
      <c r="BH103" s="260">
        <v>2.0856919999999999</v>
      </c>
      <c r="BI103" s="260">
        <v>2.0881129999999999</v>
      </c>
      <c r="BJ103" s="260">
        <v>2.0905309999999999</v>
      </c>
      <c r="BK103" s="260">
        <v>2.0929479999999998</v>
      </c>
      <c r="BL103" s="260">
        <v>2.0953629999999999</v>
      </c>
      <c r="BM103" s="260">
        <v>2.0977749999999999</v>
      </c>
      <c r="BN103" s="260">
        <v>2.1001859999999999</v>
      </c>
      <c r="BO103" s="260">
        <v>2.1025939999999999</v>
      </c>
      <c r="BP103" s="260">
        <v>2.1050010000000001</v>
      </c>
      <c r="BQ103" s="260">
        <v>2.1074060000000001</v>
      </c>
      <c r="BR103" s="260">
        <v>2.1098079999999997</v>
      </c>
      <c r="BS103" s="260">
        <v>2.112209</v>
      </c>
      <c r="BT103" s="260">
        <v>2.1146069999999999</v>
      </c>
      <c r="BU103" s="260">
        <v>2.1170040000000001</v>
      </c>
      <c r="BV103" s="260">
        <v>2.119399</v>
      </c>
      <c r="BW103" s="260">
        <v>2.121791</v>
      </c>
      <c r="BX103" s="260">
        <v>2.1241819999999998</v>
      </c>
      <c r="BY103" s="260">
        <v>2.1265709999999998</v>
      </c>
      <c r="BZ103" s="260">
        <v>2.1289569999999998</v>
      </c>
      <c r="CA103" s="260">
        <v>2.1313420000000001</v>
      </c>
      <c r="CB103" s="260">
        <v>2.1337250000000001</v>
      </c>
      <c r="CC103" s="260">
        <v>2.1361059999999998</v>
      </c>
      <c r="CD103" s="260">
        <v>2.1384840000000001</v>
      </c>
      <c r="CE103" s="260">
        <v>2.1408610000000001</v>
      </c>
      <c r="CF103" s="260">
        <v>2.1432359999999999</v>
      </c>
      <c r="CG103" s="260">
        <v>2.1456079999999997</v>
      </c>
      <c r="CH103" s="260">
        <v>2.1479789999999999</v>
      </c>
    </row>
    <row r="104" spans="1:86" x14ac:dyDescent="0.25">
      <c r="A104" s="170">
        <v>1</v>
      </c>
      <c r="B104" s="170">
        <v>103</v>
      </c>
      <c r="C104" s="259">
        <v>1.8246810436248779</v>
      </c>
      <c r="D104" s="259">
        <v>1.8246810436248779</v>
      </c>
      <c r="E104" s="259">
        <v>1.8246810436248779</v>
      </c>
      <c r="F104" s="259">
        <v>1.8246810436248779</v>
      </c>
      <c r="G104" s="259">
        <v>1.8246810436248779</v>
      </c>
      <c r="H104" s="259">
        <v>1.8246810436248779</v>
      </c>
      <c r="I104" s="260">
        <v>1.8170069999999998</v>
      </c>
      <c r="J104" s="260">
        <v>1.8183719999999999</v>
      </c>
      <c r="K104" s="260">
        <v>1.819744</v>
      </c>
      <c r="L104" s="260">
        <v>1.8211229999999998</v>
      </c>
      <c r="M104" s="260">
        <v>1.8225089999999999</v>
      </c>
      <c r="N104" s="260">
        <v>1.823901</v>
      </c>
      <c r="O104" s="260">
        <v>1.8252999999999999</v>
      </c>
      <c r="P104" s="260">
        <v>1.8267039999999999</v>
      </c>
      <c r="Q104" s="260">
        <v>1.8281129999999999</v>
      </c>
      <c r="R104" s="260">
        <v>1.829526</v>
      </c>
      <c r="S104" s="260">
        <v>1.8309419999999998</v>
      </c>
      <c r="T104" s="260">
        <v>1.8323609999999999</v>
      </c>
      <c r="U104" s="260">
        <v>1.83378</v>
      </c>
      <c r="V104" s="260">
        <v>1.835199</v>
      </c>
      <c r="W104" s="260">
        <v>1.836616</v>
      </c>
      <c r="X104" s="260">
        <v>1.8380319999999999</v>
      </c>
      <c r="Y104" s="260">
        <v>1.839448</v>
      </c>
      <c r="Z104" s="260">
        <v>1.840862</v>
      </c>
      <c r="AA104" s="260">
        <v>1.8422749999999999</v>
      </c>
      <c r="AB104" s="260">
        <v>1.8436859999999999</v>
      </c>
      <c r="AC104" s="260">
        <v>1.845097</v>
      </c>
      <c r="AD104" s="260">
        <v>1.8465069999999999</v>
      </c>
      <c r="AE104" s="260">
        <v>1.847915</v>
      </c>
      <c r="AF104" s="260">
        <v>1.8493229999999998</v>
      </c>
      <c r="AG104" s="260">
        <v>1.8507289999999998</v>
      </c>
      <c r="AH104" s="260">
        <v>1.8521339999999999</v>
      </c>
      <c r="AI104" s="260">
        <v>1.8535379999999999</v>
      </c>
      <c r="AJ104" s="260">
        <v>1.854941</v>
      </c>
      <c r="AK104" s="260">
        <v>1.8563429999999999</v>
      </c>
      <c r="AL104" s="260">
        <v>1.8577439999999998</v>
      </c>
      <c r="AM104" s="260">
        <v>1.8591439999999999</v>
      </c>
      <c r="AN104" s="260">
        <v>1.8605419999999999</v>
      </c>
      <c r="AO104" s="260">
        <v>1.8619399999999999</v>
      </c>
      <c r="AP104" s="260">
        <v>1.8633359999999999</v>
      </c>
      <c r="AQ104" s="260">
        <v>1.8647309999999999</v>
      </c>
      <c r="AR104" s="260">
        <v>1.8661249999999998</v>
      </c>
      <c r="AS104" s="260">
        <v>1.867518</v>
      </c>
      <c r="AT104" s="260">
        <v>1.8689099999999998</v>
      </c>
      <c r="AU104" s="260">
        <v>1.870301</v>
      </c>
      <c r="AV104" s="260">
        <v>1.871691</v>
      </c>
      <c r="AW104" s="260">
        <v>1.8730789999999999</v>
      </c>
      <c r="AX104" s="260">
        <v>1.8744669999999999</v>
      </c>
      <c r="AY104" s="260">
        <v>1.875853</v>
      </c>
      <c r="AZ104" s="260">
        <v>1.8772389999999999</v>
      </c>
      <c r="BA104" s="260">
        <v>1.8786229999999999</v>
      </c>
      <c r="BB104" s="260">
        <v>1.8800059999999998</v>
      </c>
      <c r="BC104" s="260">
        <v>1.8813879999999998</v>
      </c>
      <c r="BD104" s="260">
        <v>1.8827689999999999</v>
      </c>
      <c r="BE104" s="260">
        <v>1.8841489999999999</v>
      </c>
      <c r="BF104" s="260">
        <v>1.8855279999999999</v>
      </c>
      <c r="BG104" s="260">
        <v>1.8869049999999998</v>
      </c>
      <c r="BH104" s="260">
        <v>1.888282</v>
      </c>
      <c r="BI104" s="260">
        <v>1.8896569999999999</v>
      </c>
      <c r="BJ104" s="260">
        <v>1.8910319999999998</v>
      </c>
      <c r="BK104" s="260">
        <v>1.8924049999999999</v>
      </c>
      <c r="BL104" s="260">
        <v>1.8937769999999998</v>
      </c>
      <c r="BM104" s="260">
        <v>1.8951479999999998</v>
      </c>
      <c r="BN104" s="260">
        <v>1.8965179999999999</v>
      </c>
      <c r="BO104" s="260">
        <v>1.8978869999999999</v>
      </c>
      <c r="BP104" s="260">
        <v>1.8992549999999999</v>
      </c>
      <c r="BQ104" s="260">
        <v>1.9006219999999998</v>
      </c>
      <c r="BR104" s="260">
        <v>1.9019869999999999</v>
      </c>
      <c r="BS104" s="260">
        <v>1.9033519999999999</v>
      </c>
      <c r="BT104" s="260">
        <v>1.9047149999999999</v>
      </c>
      <c r="BU104" s="260">
        <v>1.9060779999999999</v>
      </c>
      <c r="BV104" s="260">
        <v>1.9074389999999999</v>
      </c>
      <c r="BW104" s="260">
        <v>1.9087989999999999</v>
      </c>
      <c r="BX104" s="260">
        <v>1.910158</v>
      </c>
      <c r="BY104" s="260">
        <v>1.911516</v>
      </c>
      <c r="BZ104" s="260">
        <v>1.9128729999999998</v>
      </c>
      <c r="CA104" s="260">
        <v>1.914229</v>
      </c>
      <c r="CB104" s="260">
        <v>1.9155829999999998</v>
      </c>
      <c r="CC104" s="260">
        <v>1.9169369999999999</v>
      </c>
      <c r="CD104" s="260">
        <v>1.9182899999999998</v>
      </c>
      <c r="CE104" s="260">
        <v>1.9196409999999999</v>
      </c>
      <c r="CF104" s="260">
        <v>1.9209909999999999</v>
      </c>
      <c r="CG104" s="260">
        <v>1.9223409999999999</v>
      </c>
      <c r="CH104" s="260">
        <v>1.923689</v>
      </c>
    </row>
    <row r="105" spans="1:86" x14ac:dyDescent="0.25">
      <c r="A105" s="170">
        <v>1</v>
      </c>
      <c r="B105" s="170">
        <v>104</v>
      </c>
      <c r="C105" s="259">
        <v>1.7162660360336304</v>
      </c>
      <c r="D105" s="259">
        <v>1.7162660360336304</v>
      </c>
      <c r="E105" s="259">
        <v>1.7162660360336304</v>
      </c>
      <c r="F105" s="259">
        <v>1.7162660360336304</v>
      </c>
      <c r="G105" s="259">
        <v>1.7162660360336304</v>
      </c>
      <c r="H105" s="259">
        <v>1.7162660360336304</v>
      </c>
      <c r="I105" s="260">
        <v>1.683535</v>
      </c>
      <c r="J105" s="260">
        <v>1.6840659999999998</v>
      </c>
      <c r="K105" s="260">
        <v>1.6845999999999999</v>
      </c>
      <c r="L105" s="260">
        <v>1.6851349999999998</v>
      </c>
      <c r="M105" s="260">
        <v>1.6856739999999999</v>
      </c>
      <c r="N105" s="260">
        <v>1.686215</v>
      </c>
      <c r="O105" s="260">
        <v>1.6867589999999999</v>
      </c>
      <c r="P105" s="260">
        <v>1.6873049999999998</v>
      </c>
      <c r="Q105" s="260">
        <v>1.6878529999999998</v>
      </c>
      <c r="R105" s="260">
        <v>1.6884029999999999</v>
      </c>
      <c r="S105" s="260">
        <v>1.6889539999999998</v>
      </c>
      <c r="T105" s="260">
        <v>1.689506</v>
      </c>
      <c r="U105" s="260">
        <v>1.690059</v>
      </c>
      <c r="V105" s="260">
        <v>1.690612</v>
      </c>
      <c r="W105" s="260">
        <v>1.6911639999999999</v>
      </c>
      <c r="X105" s="260">
        <v>1.6917169999999999</v>
      </c>
      <c r="Y105" s="260">
        <v>1.6922679999999999</v>
      </c>
      <c r="Z105" s="260">
        <v>1.69282</v>
      </c>
      <c r="AA105" s="260">
        <v>1.693371</v>
      </c>
      <c r="AB105" s="260">
        <v>1.6939219999999999</v>
      </c>
      <c r="AC105" s="260">
        <v>1.694472</v>
      </c>
      <c r="AD105" s="260">
        <v>1.695022</v>
      </c>
      <c r="AE105" s="260">
        <v>1.6955719999999999</v>
      </c>
      <c r="AF105" s="260">
        <v>1.696121</v>
      </c>
      <c r="AG105" s="260">
        <v>1.6966699999999999</v>
      </c>
      <c r="AH105" s="260">
        <v>1.6972179999999999</v>
      </c>
      <c r="AI105" s="260">
        <v>1.6977659999999999</v>
      </c>
      <c r="AJ105" s="260">
        <v>1.6983139999999999</v>
      </c>
      <c r="AK105" s="260">
        <v>1.6988619999999999</v>
      </c>
      <c r="AL105" s="260">
        <v>1.6994089999999999</v>
      </c>
      <c r="AM105" s="260">
        <v>1.6999549999999999</v>
      </c>
      <c r="AN105" s="260">
        <v>1.700502</v>
      </c>
      <c r="AO105" s="260">
        <v>1.7010479999999999</v>
      </c>
      <c r="AP105" s="260">
        <v>1.7015929999999999</v>
      </c>
      <c r="AQ105" s="260">
        <v>1.7021379999999999</v>
      </c>
      <c r="AR105" s="260">
        <v>1.7026829999999999</v>
      </c>
      <c r="AS105" s="260">
        <v>1.703228</v>
      </c>
      <c r="AT105" s="260">
        <v>1.7037719999999998</v>
      </c>
      <c r="AU105" s="260">
        <v>1.7043159999999999</v>
      </c>
      <c r="AV105" s="260">
        <v>1.7048589999999999</v>
      </c>
      <c r="AW105" s="260">
        <v>1.7054019999999999</v>
      </c>
      <c r="AX105" s="260">
        <v>1.7059449999999998</v>
      </c>
      <c r="AY105" s="260">
        <v>1.7064869999999999</v>
      </c>
      <c r="AZ105" s="260">
        <v>1.7070289999999999</v>
      </c>
      <c r="BA105" s="260">
        <v>1.7075709999999999</v>
      </c>
      <c r="BB105" s="260">
        <v>1.7081119999999999</v>
      </c>
      <c r="BC105" s="260">
        <v>1.708653</v>
      </c>
      <c r="BD105" s="260">
        <v>1.709193</v>
      </c>
      <c r="BE105" s="260">
        <v>1.7097329999999999</v>
      </c>
      <c r="BF105" s="260">
        <v>1.7102729999999999</v>
      </c>
      <c r="BG105" s="260">
        <v>1.7108129999999999</v>
      </c>
      <c r="BH105" s="260">
        <v>1.711352</v>
      </c>
      <c r="BI105" s="260">
        <v>1.7118899999999999</v>
      </c>
      <c r="BJ105" s="260">
        <v>1.712429</v>
      </c>
      <c r="BK105" s="260">
        <v>1.7129669999999999</v>
      </c>
      <c r="BL105" s="260">
        <v>1.7135039999999999</v>
      </c>
      <c r="BM105" s="260">
        <v>1.7140419999999998</v>
      </c>
      <c r="BN105" s="260">
        <v>1.7145789999999999</v>
      </c>
      <c r="BO105" s="260">
        <v>1.7151149999999999</v>
      </c>
      <c r="BP105" s="260">
        <v>1.7156509999999998</v>
      </c>
      <c r="BQ105" s="260">
        <v>1.7161869999999999</v>
      </c>
      <c r="BR105" s="260">
        <v>1.716723</v>
      </c>
      <c r="BS105" s="260">
        <v>1.717258</v>
      </c>
      <c r="BT105" s="260">
        <v>1.7177929999999999</v>
      </c>
      <c r="BU105" s="260">
        <v>1.7183269999999999</v>
      </c>
      <c r="BV105" s="260">
        <v>1.718861</v>
      </c>
      <c r="BW105" s="260">
        <v>1.719395</v>
      </c>
      <c r="BX105" s="260">
        <v>1.7199279999999999</v>
      </c>
      <c r="BY105" s="260">
        <v>1.720461</v>
      </c>
      <c r="BZ105" s="260">
        <v>1.7209939999999999</v>
      </c>
      <c r="CA105" s="260">
        <v>1.7215259999999999</v>
      </c>
      <c r="CB105" s="260">
        <v>1.7220579999999999</v>
      </c>
      <c r="CC105" s="260">
        <v>1.7225899999999998</v>
      </c>
      <c r="CD105" s="260">
        <v>1.7231209999999999</v>
      </c>
      <c r="CE105" s="260">
        <v>1.723652</v>
      </c>
      <c r="CF105" s="260">
        <v>1.7241819999999999</v>
      </c>
      <c r="CG105" s="260">
        <v>1.724712</v>
      </c>
      <c r="CH105" s="260">
        <v>1.7252419999999999</v>
      </c>
    </row>
    <row r="106" spans="1:86" x14ac:dyDescent="0.25">
      <c r="A106" s="170">
        <v>1</v>
      </c>
      <c r="B106" s="170">
        <v>105</v>
      </c>
      <c r="C106" s="259">
        <v>1.6114909648895264</v>
      </c>
      <c r="D106" s="259">
        <v>1.6114909648895264</v>
      </c>
      <c r="E106" s="259">
        <v>1.6114909648895264</v>
      </c>
      <c r="F106" s="259">
        <v>1.6114909648895264</v>
      </c>
      <c r="G106" s="259">
        <v>1.6114909648895264</v>
      </c>
      <c r="H106" s="259">
        <v>1.6114909648895264</v>
      </c>
      <c r="I106" s="260">
        <v>1.5585719999999998</v>
      </c>
      <c r="J106" s="260">
        <v>1.5585719999999998</v>
      </c>
      <c r="K106" s="260">
        <v>1.5585719999999998</v>
      </c>
      <c r="L106" s="260">
        <v>1.5585719999999998</v>
      </c>
      <c r="M106" s="260">
        <v>1.5585719999999998</v>
      </c>
      <c r="N106" s="260">
        <v>1.5585719999999998</v>
      </c>
      <c r="O106" s="260">
        <v>1.5585719999999998</v>
      </c>
      <c r="P106" s="260">
        <v>1.5585719999999998</v>
      </c>
      <c r="Q106" s="260">
        <v>1.5585719999999998</v>
      </c>
      <c r="R106" s="260">
        <v>1.5585719999999998</v>
      </c>
      <c r="S106" s="260">
        <v>1.5585719999999998</v>
      </c>
      <c r="T106" s="260">
        <v>1.5585719999999998</v>
      </c>
      <c r="U106" s="260">
        <v>1.5585719999999998</v>
      </c>
      <c r="V106" s="260">
        <v>1.5585719999999998</v>
      </c>
      <c r="W106" s="260">
        <v>1.5585719999999998</v>
      </c>
      <c r="X106" s="260">
        <v>1.5585719999999998</v>
      </c>
      <c r="Y106" s="260">
        <v>1.5585719999999998</v>
      </c>
      <c r="Z106" s="260">
        <v>1.5585719999999998</v>
      </c>
      <c r="AA106" s="260">
        <v>1.5585719999999998</v>
      </c>
      <c r="AB106" s="260">
        <v>1.5585719999999998</v>
      </c>
      <c r="AC106" s="260">
        <v>1.5585719999999998</v>
      </c>
      <c r="AD106" s="260">
        <v>1.5585719999999998</v>
      </c>
      <c r="AE106" s="260">
        <v>1.5585719999999998</v>
      </c>
      <c r="AF106" s="260">
        <v>1.5585719999999998</v>
      </c>
      <c r="AG106" s="260">
        <v>1.5585719999999998</v>
      </c>
      <c r="AH106" s="260">
        <v>1.5585719999999998</v>
      </c>
      <c r="AI106" s="260">
        <v>1.5585719999999998</v>
      </c>
      <c r="AJ106" s="260">
        <v>1.5585719999999998</v>
      </c>
      <c r="AK106" s="260">
        <v>1.5585719999999998</v>
      </c>
      <c r="AL106" s="260">
        <v>1.5585719999999998</v>
      </c>
      <c r="AM106" s="260">
        <v>1.5585719999999998</v>
      </c>
      <c r="AN106" s="260">
        <v>1.5585719999999998</v>
      </c>
      <c r="AO106" s="260">
        <v>1.5585719999999998</v>
      </c>
      <c r="AP106" s="260">
        <v>1.5585719999999998</v>
      </c>
      <c r="AQ106" s="260">
        <v>1.5585719999999998</v>
      </c>
      <c r="AR106" s="260">
        <v>1.5585719999999998</v>
      </c>
      <c r="AS106" s="260">
        <v>1.5585719999999998</v>
      </c>
      <c r="AT106" s="260">
        <v>1.5585719999999998</v>
      </c>
      <c r="AU106" s="260">
        <v>1.5585719999999998</v>
      </c>
      <c r="AV106" s="260">
        <v>1.5585719999999998</v>
      </c>
      <c r="AW106" s="260">
        <v>1.5585719999999998</v>
      </c>
      <c r="AX106" s="260">
        <v>1.5585719999999998</v>
      </c>
      <c r="AY106" s="260">
        <v>1.5585719999999998</v>
      </c>
      <c r="AZ106" s="260">
        <v>1.5585719999999998</v>
      </c>
      <c r="BA106" s="260">
        <v>1.5585719999999998</v>
      </c>
      <c r="BB106" s="260">
        <v>1.5585719999999998</v>
      </c>
      <c r="BC106" s="260">
        <v>1.5585719999999998</v>
      </c>
      <c r="BD106" s="260">
        <v>1.5585719999999998</v>
      </c>
      <c r="BE106" s="260">
        <v>1.5585719999999998</v>
      </c>
      <c r="BF106" s="260">
        <v>1.5585719999999998</v>
      </c>
      <c r="BG106" s="260">
        <v>1.5585719999999998</v>
      </c>
      <c r="BH106" s="260">
        <v>1.5585719999999998</v>
      </c>
      <c r="BI106" s="260">
        <v>1.5585719999999998</v>
      </c>
      <c r="BJ106" s="260">
        <v>1.5585719999999998</v>
      </c>
      <c r="BK106" s="260">
        <v>1.5585719999999998</v>
      </c>
      <c r="BL106" s="260">
        <v>1.5585719999999998</v>
      </c>
      <c r="BM106" s="260">
        <v>1.5585719999999998</v>
      </c>
      <c r="BN106" s="260">
        <v>1.5585719999999998</v>
      </c>
      <c r="BO106" s="260">
        <v>1.5585719999999998</v>
      </c>
      <c r="BP106" s="260">
        <v>1.5585719999999998</v>
      </c>
      <c r="BQ106" s="260">
        <v>1.5585719999999998</v>
      </c>
      <c r="BR106" s="260">
        <v>1.5585719999999998</v>
      </c>
      <c r="BS106" s="260">
        <v>1.5585719999999998</v>
      </c>
      <c r="BT106" s="260">
        <v>1.5585719999999998</v>
      </c>
      <c r="BU106" s="260">
        <v>1.5585719999999998</v>
      </c>
      <c r="BV106" s="260">
        <v>1.5585719999999998</v>
      </c>
      <c r="BW106" s="260">
        <v>1.5585719999999998</v>
      </c>
      <c r="BX106" s="260">
        <v>1.5585719999999998</v>
      </c>
      <c r="BY106" s="260">
        <v>1.5585719999999998</v>
      </c>
      <c r="BZ106" s="260">
        <v>1.5585719999999998</v>
      </c>
      <c r="CA106" s="260">
        <v>1.5585719999999998</v>
      </c>
      <c r="CB106" s="260">
        <v>1.5585719999999998</v>
      </c>
      <c r="CC106" s="260">
        <v>1.5585719999999998</v>
      </c>
      <c r="CD106" s="260">
        <v>1.5585719999999998</v>
      </c>
      <c r="CE106" s="260">
        <v>1.5585719999999998</v>
      </c>
      <c r="CF106" s="260">
        <v>1.5585719999999998</v>
      </c>
      <c r="CG106" s="260">
        <v>1.5585719999999998</v>
      </c>
      <c r="CH106" s="260">
        <v>1.5585719999999998</v>
      </c>
    </row>
    <row r="107" spans="1:86" x14ac:dyDescent="0.25">
      <c r="A107" s="170">
        <v>1</v>
      </c>
      <c r="B107" s="170">
        <v>106</v>
      </c>
      <c r="C107" s="259">
        <v>1.5053139925003052</v>
      </c>
      <c r="D107" s="259">
        <v>1.5053139925003052</v>
      </c>
      <c r="E107" s="259">
        <v>1.5053139925003052</v>
      </c>
      <c r="F107" s="259">
        <v>1.5053139925003052</v>
      </c>
      <c r="G107" s="259">
        <v>1.5053139925003052</v>
      </c>
      <c r="H107" s="259">
        <v>1.5053139925003052</v>
      </c>
      <c r="I107" s="260">
        <v>1.4398839999999999</v>
      </c>
      <c r="J107" s="260">
        <v>1.4398839999999999</v>
      </c>
      <c r="K107" s="260">
        <v>1.4398839999999999</v>
      </c>
      <c r="L107" s="260">
        <v>1.4398839999999999</v>
      </c>
      <c r="M107" s="260">
        <v>1.4398839999999999</v>
      </c>
      <c r="N107" s="260">
        <v>1.4398839999999999</v>
      </c>
      <c r="O107" s="260">
        <v>1.4398839999999999</v>
      </c>
      <c r="P107" s="260">
        <v>1.4398839999999999</v>
      </c>
      <c r="Q107" s="260">
        <v>1.4398839999999999</v>
      </c>
      <c r="R107" s="260">
        <v>1.4398839999999999</v>
      </c>
      <c r="S107" s="260">
        <v>1.4398839999999999</v>
      </c>
      <c r="T107" s="260">
        <v>1.4398839999999999</v>
      </c>
      <c r="U107" s="260">
        <v>1.4398839999999999</v>
      </c>
      <c r="V107" s="260">
        <v>1.4398839999999999</v>
      </c>
      <c r="W107" s="260">
        <v>1.4398839999999999</v>
      </c>
      <c r="X107" s="260">
        <v>1.4398839999999999</v>
      </c>
      <c r="Y107" s="260">
        <v>1.4398839999999999</v>
      </c>
      <c r="Z107" s="260">
        <v>1.4398839999999999</v>
      </c>
      <c r="AA107" s="260">
        <v>1.4398839999999999</v>
      </c>
      <c r="AB107" s="260">
        <v>1.4398839999999999</v>
      </c>
      <c r="AC107" s="260">
        <v>1.4398839999999999</v>
      </c>
      <c r="AD107" s="260">
        <v>1.4398839999999999</v>
      </c>
      <c r="AE107" s="260">
        <v>1.4398839999999999</v>
      </c>
      <c r="AF107" s="260">
        <v>1.4398839999999999</v>
      </c>
      <c r="AG107" s="260">
        <v>1.4398839999999999</v>
      </c>
      <c r="AH107" s="260">
        <v>1.4398839999999999</v>
      </c>
      <c r="AI107" s="260">
        <v>1.4398839999999999</v>
      </c>
      <c r="AJ107" s="260">
        <v>1.4398839999999999</v>
      </c>
      <c r="AK107" s="260">
        <v>1.4398839999999999</v>
      </c>
      <c r="AL107" s="260">
        <v>1.4398839999999999</v>
      </c>
      <c r="AM107" s="260">
        <v>1.4398839999999999</v>
      </c>
      <c r="AN107" s="260">
        <v>1.4398839999999999</v>
      </c>
      <c r="AO107" s="260">
        <v>1.4398839999999999</v>
      </c>
      <c r="AP107" s="260">
        <v>1.4398839999999999</v>
      </c>
      <c r="AQ107" s="260">
        <v>1.4398839999999999</v>
      </c>
      <c r="AR107" s="260">
        <v>1.4398839999999999</v>
      </c>
      <c r="AS107" s="260">
        <v>1.4398839999999999</v>
      </c>
      <c r="AT107" s="260">
        <v>1.4398839999999999</v>
      </c>
      <c r="AU107" s="260">
        <v>1.4398839999999999</v>
      </c>
      <c r="AV107" s="260">
        <v>1.4398839999999999</v>
      </c>
      <c r="AW107" s="260">
        <v>1.4398839999999999</v>
      </c>
      <c r="AX107" s="260">
        <v>1.4398839999999999</v>
      </c>
      <c r="AY107" s="260">
        <v>1.4398839999999999</v>
      </c>
      <c r="AZ107" s="260">
        <v>1.4398839999999999</v>
      </c>
      <c r="BA107" s="260">
        <v>1.4398839999999999</v>
      </c>
      <c r="BB107" s="260">
        <v>1.4398839999999999</v>
      </c>
      <c r="BC107" s="260">
        <v>1.4398839999999999</v>
      </c>
      <c r="BD107" s="260">
        <v>1.4398839999999999</v>
      </c>
      <c r="BE107" s="260">
        <v>1.4398839999999999</v>
      </c>
      <c r="BF107" s="260">
        <v>1.4398839999999999</v>
      </c>
      <c r="BG107" s="260">
        <v>1.4398839999999999</v>
      </c>
      <c r="BH107" s="260">
        <v>1.4398839999999999</v>
      </c>
      <c r="BI107" s="260">
        <v>1.4398839999999999</v>
      </c>
      <c r="BJ107" s="260">
        <v>1.4398839999999999</v>
      </c>
      <c r="BK107" s="260">
        <v>1.4398839999999999</v>
      </c>
      <c r="BL107" s="260">
        <v>1.4398839999999999</v>
      </c>
      <c r="BM107" s="260">
        <v>1.4398839999999999</v>
      </c>
      <c r="BN107" s="260">
        <v>1.4398839999999999</v>
      </c>
      <c r="BO107" s="260">
        <v>1.4398839999999999</v>
      </c>
      <c r="BP107" s="260">
        <v>1.4398839999999999</v>
      </c>
      <c r="BQ107" s="260">
        <v>1.4398839999999999</v>
      </c>
      <c r="BR107" s="260">
        <v>1.4398839999999999</v>
      </c>
      <c r="BS107" s="260">
        <v>1.4398839999999999</v>
      </c>
      <c r="BT107" s="260">
        <v>1.4398839999999999</v>
      </c>
      <c r="BU107" s="260">
        <v>1.4398839999999999</v>
      </c>
      <c r="BV107" s="260">
        <v>1.4398839999999999</v>
      </c>
      <c r="BW107" s="260">
        <v>1.4398839999999999</v>
      </c>
      <c r="BX107" s="260">
        <v>1.4398839999999999</v>
      </c>
      <c r="BY107" s="260">
        <v>1.4398839999999999</v>
      </c>
      <c r="BZ107" s="260">
        <v>1.4398839999999999</v>
      </c>
      <c r="CA107" s="260">
        <v>1.4398839999999999</v>
      </c>
      <c r="CB107" s="260">
        <v>1.4398839999999999</v>
      </c>
      <c r="CC107" s="260">
        <v>1.4398839999999999</v>
      </c>
      <c r="CD107" s="260">
        <v>1.4398839999999999</v>
      </c>
      <c r="CE107" s="260">
        <v>1.4398839999999999</v>
      </c>
      <c r="CF107" s="260">
        <v>1.4398839999999999</v>
      </c>
      <c r="CG107" s="260">
        <v>1.4398839999999999</v>
      </c>
      <c r="CH107" s="260">
        <v>1.4398839999999999</v>
      </c>
    </row>
    <row r="108" spans="1:86" x14ac:dyDescent="0.25">
      <c r="A108" s="170">
        <v>1</v>
      </c>
      <c r="B108" s="170">
        <v>107</v>
      </c>
      <c r="C108" s="259">
        <v>1.3874380588531494</v>
      </c>
      <c r="D108" s="259">
        <v>1.3874380588531494</v>
      </c>
      <c r="E108" s="259">
        <v>1.3874380588531494</v>
      </c>
      <c r="F108" s="259">
        <v>1.3874380588531494</v>
      </c>
      <c r="G108" s="259">
        <v>1.3874380588531494</v>
      </c>
      <c r="H108" s="259">
        <v>1.3874380588531494</v>
      </c>
      <c r="I108" s="260">
        <v>1.316298</v>
      </c>
      <c r="J108" s="260">
        <v>1.316298</v>
      </c>
      <c r="K108" s="260">
        <v>1.316298</v>
      </c>
      <c r="L108" s="260">
        <v>1.316298</v>
      </c>
      <c r="M108" s="260">
        <v>1.316298</v>
      </c>
      <c r="N108" s="260">
        <v>1.316298</v>
      </c>
      <c r="O108" s="260">
        <v>1.316298</v>
      </c>
      <c r="P108" s="260">
        <v>1.316298</v>
      </c>
      <c r="Q108" s="260">
        <v>1.316298</v>
      </c>
      <c r="R108" s="260">
        <v>1.316298</v>
      </c>
      <c r="S108" s="260">
        <v>1.316298</v>
      </c>
      <c r="T108" s="260">
        <v>1.316298</v>
      </c>
      <c r="U108" s="260">
        <v>1.316298</v>
      </c>
      <c r="V108" s="260">
        <v>1.316298</v>
      </c>
      <c r="W108" s="260">
        <v>1.316298</v>
      </c>
      <c r="X108" s="260">
        <v>1.316298</v>
      </c>
      <c r="Y108" s="260">
        <v>1.316298</v>
      </c>
      <c r="Z108" s="260">
        <v>1.316298</v>
      </c>
      <c r="AA108" s="260">
        <v>1.316298</v>
      </c>
      <c r="AB108" s="260">
        <v>1.316298</v>
      </c>
      <c r="AC108" s="260">
        <v>1.316298</v>
      </c>
      <c r="AD108" s="260">
        <v>1.316298</v>
      </c>
      <c r="AE108" s="260">
        <v>1.316298</v>
      </c>
      <c r="AF108" s="260">
        <v>1.316298</v>
      </c>
      <c r="AG108" s="260">
        <v>1.316298</v>
      </c>
      <c r="AH108" s="260">
        <v>1.316298</v>
      </c>
      <c r="AI108" s="260">
        <v>1.316298</v>
      </c>
      <c r="AJ108" s="260">
        <v>1.316298</v>
      </c>
      <c r="AK108" s="260">
        <v>1.316298</v>
      </c>
      <c r="AL108" s="260">
        <v>1.316298</v>
      </c>
      <c r="AM108" s="260">
        <v>1.316298</v>
      </c>
      <c r="AN108" s="260">
        <v>1.316298</v>
      </c>
      <c r="AO108" s="260">
        <v>1.316298</v>
      </c>
      <c r="AP108" s="260">
        <v>1.316298</v>
      </c>
      <c r="AQ108" s="260">
        <v>1.316298</v>
      </c>
      <c r="AR108" s="260">
        <v>1.316298</v>
      </c>
      <c r="AS108" s="260">
        <v>1.316298</v>
      </c>
      <c r="AT108" s="260">
        <v>1.316298</v>
      </c>
      <c r="AU108" s="260">
        <v>1.316298</v>
      </c>
      <c r="AV108" s="260">
        <v>1.316298</v>
      </c>
      <c r="AW108" s="260">
        <v>1.316298</v>
      </c>
      <c r="AX108" s="260">
        <v>1.316298</v>
      </c>
      <c r="AY108" s="260">
        <v>1.316298</v>
      </c>
      <c r="AZ108" s="260">
        <v>1.316298</v>
      </c>
      <c r="BA108" s="260">
        <v>1.316298</v>
      </c>
      <c r="BB108" s="260">
        <v>1.316298</v>
      </c>
      <c r="BC108" s="260">
        <v>1.316298</v>
      </c>
      <c r="BD108" s="260">
        <v>1.316298</v>
      </c>
      <c r="BE108" s="260">
        <v>1.316298</v>
      </c>
      <c r="BF108" s="260">
        <v>1.316298</v>
      </c>
      <c r="BG108" s="260">
        <v>1.316298</v>
      </c>
      <c r="BH108" s="260">
        <v>1.316298</v>
      </c>
      <c r="BI108" s="260">
        <v>1.316298</v>
      </c>
      <c r="BJ108" s="260">
        <v>1.316298</v>
      </c>
      <c r="BK108" s="260">
        <v>1.316298</v>
      </c>
      <c r="BL108" s="260">
        <v>1.316298</v>
      </c>
      <c r="BM108" s="260">
        <v>1.316298</v>
      </c>
      <c r="BN108" s="260">
        <v>1.316298</v>
      </c>
      <c r="BO108" s="260">
        <v>1.316298</v>
      </c>
      <c r="BP108" s="260">
        <v>1.316298</v>
      </c>
      <c r="BQ108" s="260">
        <v>1.316298</v>
      </c>
      <c r="BR108" s="260">
        <v>1.316298</v>
      </c>
      <c r="BS108" s="260">
        <v>1.316298</v>
      </c>
      <c r="BT108" s="260">
        <v>1.316298</v>
      </c>
      <c r="BU108" s="260">
        <v>1.316298</v>
      </c>
      <c r="BV108" s="260">
        <v>1.316298</v>
      </c>
      <c r="BW108" s="260">
        <v>1.316298</v>
      </c>
      <c r="BX108" s="260">
        <v>1.316298</v>
      </c>
      <c r="BY108" s="260">
        <v>1.316298</v>
      </c>
      <c r="BZ108" s="260">
        <v>1.316298</v>
      </c>
      <c r="CA108" s="260">
        <v>1.316298</v>
      </c>
      <c r="CB108" s="260">
        <v>1.316298</v>
      </c>
      <c r="CC108" s="260">
        <v>1.316298</v>
      </c>
      <c r="CD108" s="260">
        <v>1.316298</v>
      </c>
      <c r="CE108" s="260">
        <v>1.316298</v>
      </c>
      <c r="CF108" s="260">
        <v>1.316298</v>
      </c>
      <c r="CG108" s="260">
        <v>1.316298</v>
      </c>
      <c r="CH108" s="260">
        <v>1.316298</v>
      </c>
    </row>
    <row r="109" spans="1:86" x14ac:dyDescent="0.25">
      <c r="A109" s="170">
        <v>1</v>
      </c>
      <c r="B109" s="170">
        <v>108</v>
      </c>
      <c r="C109" s="259">
        <v>1.2352609634399414</v>
      </c>
      <c r="D109" s="259">
        <v>1.2352609634399414</v>
      </c>
      <c r="E109" s="259">
        <v>1.2352609634399414</v>
      </c>
      <c r="F109" s="259">
        <v>1.2352609634399414</v>
      </c>
      <c r="G109" s="259">
        <v>1.2352609634399414</v>
      </c>
      <c r="H109" s="259">
        <v>1.2352609634399414</v>
      </c>
      <c r="I109" s="260">
        <v>1.169948</v>
      </c>
      <c r="J109" s="260">
        <v>1.169948</v>
      </c>
      <c r="K109" s="260">
        <v>1.169948</v>
      </c>
      <c r="L109" s="260">
        <v>1.169948</v>
      </c>
      <c r="M109" s="260">
        <v>1.169948</v>
      </c>
      <c r="N109" s="260">
        <v>1.169948</v>
      </c>
      <c r="O109" s="260">
        <v>1.169948</v>
      </c>
      <c r="P109" s="260">
        <v>1.169948</v>
      </c>
      <c r="Q109" s="260">
        <v>1.169948</v>
      </c>
      <c r="R109" s="260">
        <v>1.169948</v>
      </c>
      <c r="S109" s="260">
        <v>1.169948</v>
      </c>
      <c r="T109" s="260">
        <v>1.169948</v>
      </c>
      <c r="U109" s="260">
        <v>1.169948</v>
      </c>
      <c r="V109" s="260">
        <v>1.169948</v>
      </c>
      <c r="W109" s="260">
        <v>1.169948</v>
      </c>
      <c r="X109" s="260">
        <v>1.169948</v>
      </c>
      <c r="Y109" s="260">
        <v>1.169948</v>
      </c>
      <c r="Z109" s="260">
        <v>1.169948</v>
      </c>
      <c r="AA109" s="260">
        <v>1.169948</v>
      </c>
      <c r="AB109" s="260">
        <v>1.169948</v>
      </c>
      <c r="AC109" s="260">
        <v>1.169948</v>
      </c>
      <c r="AD109" s="260">
        <v>1.169948</v>
      </c>
      <c r="AE109" s="260">
        <v>1.169948</v>
      </c>
      <c r="AF109" s="260">
        <v>1.169948</v>
      </c>
      <c r="AG109" s="260">
        <v>1.169948</v>
      </c>
      <c r="AH109" s="260">
        <v>1.169948</v>
      </c>
      <c r="AI109" s="260">
        <v>1.169948</v>
      </c>
      <c r="AJ109" s="260">
        <v>1.169948</v>
      </c>
      <c r="AK109" s="260">
        <v>1.169948</v>
      </c>
      <c r="AL109" s="260">
        <v>1.169948</v>
      </c>
      <c r="AM109" s="260">
        <v>1.169948</v>
      </c>
      <c r="AN109" s="260">
        <v>1.169948</v>
      </c>
      <c r="AO109" s="260">
        <v>1.169948</v>
      </c>
      <c r="AP109" s="260">
        <v>1.169948</v>
      </c>
      <c r="AQ109" s="260">
        <v>1.169948</v>
      </c>
      <c r="AR109" s="260">
        <v>1.169948</v>
      </c>
      <c r="AS109" s="260">
        <v>1.169948</v>
      </c>
      <c r="AT109" s="260">
        <v>1.169948</v>
      </c>
      <c r="AU109" s="260">
        <v>1.169948</v>
      </c>
      <c r="AV109" s="260">
        <v>1.169948</v>
      </c>
      <c r="AW109" s="260">
        <v>1.169948</v>
      </c>
      <c r="AX109" s="260">
        <v>1.169948</v>
      </c>
      <c r="AY109" s="260">
        <v>1.169948</v>
      </c>
      <c r="AZ109" s="260">
        <v>1.169948</v>
      </c>
      <c r="BA109" s="260">
        <v>1.169948</v>
      </c>
      <c r="BB109" s="260">
        <v>1.169948</v>
      </c>
      <c r="BC109" s="260">
        <v>1.169948</v>
      </c>
      <c r="BD109" s="260">
        <v>1.169948</v>
      </c>
      <c r="BE109" s="260">
        <v>1.169948</v>
      </c>
      <c r="BF109" s="260">
        <v>1.169948</v>
      </c>
      <c r="BG109" s="260">
        <v>1.169948</v>
      </c>
      <c r="BH109" s="260">
        <v>1.169948</v>
      </c>
      <c r="BI109" s="260">
        <v>1.169948</v>
      </c>
      <c r="BJ109" s="260">
        <v>1.169948</v>
      </c>
      <c r="BK109" s="260">
        <v>1.169948</v>
      </c>
      <c r="BL109" s="260">
        <v>1.169948</v>
      </c>
      <c r="BM109" s="260">
        <v>1.169948</v>
      </c>
      <c r="BN109" s="260">
        <v>1.169948</v>
      </c>
      <c r="BO109" s="260">
        <v>1.169948</v>
      </c>
      <c r="BP109" s="260">
        <v>1.169948</v>
      </c>
      <c r="BQ109" s="260">
        <v>1.169948</v>
      </c>
      <c r="BR109" s="260">
        <v>1.169948</v>
      </c>
      <c r="BS109" s="260">
        <v>1.169948</v>
      </c>
      <c r="BT109" s="260">
        <v>1.169948</v>
      </c>
      <c r="BU109" s="260">
        <v>1.169948</v>
      </c>
      <c r="BV109" s="260">
        <v>1.169948</v>
      </c>
      <c r="BW109" s="260">
        <v>1.169948</v>
      </c>
      <c r="BX109" s="260">
        <v>1.169948</v>
      </c>
      <c r="BY109" s="260">
        <v>1.169948</v>
      </c>
      <c r="BZ109" s="260">
        <v>1.169948</v>
      </c>
      <c r="CA109" s="260">
        <v>1.169948</v>
      </c>
      <c r="CB109" s="260">
        <v>1.169948</v>
      </c>
      <c r="CC109" s="260">
        <v>1.169948</v>
      </c>
      <c r="CD109" s="260">
        <v>1.169948</v>
      </c>
      <c r="CE109" s="260">
        <v>1.169948</v>
      </c>
      <c r="CF109" s="260">
        <v>1.169948</v>
      </c>
      <c r="CG109" s="260">
        <v>1.169948</v>
      </c>
      <c r="CH109" s="260">
        <v>1.169948</v>
      </c>
    </row>
    <row r="110" spans="1:86" x14ac:dyDescent="0.25">
      <c r="A110" s="170">
        <v>1</v>
      </c>
      <c r="B110" s="170">
        <v>109</v>
      </c>
      <c r="C110" s="259">
        <v>0.99620801210403442</v>
      </c>
      <c r="D110" s="259">
        <v>0.99620801210403442</v>
      </c>
      <c r="E110" s="259">
        <v>0.99620801210403442</v>
      </c>
      <c r="F110" s="259">
        <v>0.99620801210403442</v>
      </c>
      <c r="G110" s="259">
        <v>0.99620801210403442</v>
      </c>
      <c r="H110" s="259">
        <v>0.99620801210403442</v>
      </c>
      <c r="I110" s="260">
        <v>0.95468699999999995</v>
      </c>
      <c r="J110" s="260">
        <v>0.95468699999999995</v>
      </c>
      <c r="K110" s="260">
        <v>0.95468699999999995</v>
      </c>
      <c r="L110" s="260">
        <v>0.95468699999999995</v>
      </c>
      <c r="M110" s="260">
        <v>0.95468699999999995</v>
      </c>
      <c r="N110" s="260">
        <v>0.95468699999999995</v>
      </c>
      <c r="O110" s="260">
        <v>0.95468699999999995</v>
      </c>
      <c r="P110" s="260">
        <v>0.95468699999999995</v>
      </c>
      <c r="Q110" s="260">
        <v>0.95468699999999995</v>
      </c>
      <c r="R110" s="260">
        <v>0.95468699999999995</v>
      </c>
      <c r="S110" s="260">
        <v>0.95468699999999995</v>
      </c>
      <c r="T110" s="260">
        <v>0.95468699999999995</v>
      </c>
      <c r="U110" s="260">
        <v>0.95468699999999995</v>
      </c>
      <c r="V110" s="260">
        <v>0.95468699999999995</v>
      </c>
      <c r="W110" s="260">
        <v>0.95468699999999995</v>
      </c>
      <c r="X110" s="260">
        <v>0.95468699999999995</v>
      </c>
      <c r="Y110" s="260">
        <v>0.95468699999999995</v>
      </c>
      <c r="Z110" s="260">
        <v>0.95468699999999995</v>
      </c>
      <c r="AA110" s="260">
        <v>0.95468699999999995</v>
      </c>
      <c r="AB110" s="260">
        <v>0.95468699999999995</v>
      </c>
      <c r="AC110" s="260">
        <v>0.95468699999999995</v>
      </c>
      <c r="AD110" s="260">
        <v>0.95468699999999995</v>
      </c>
      <c r="AE110" s="260">
        <v>0.95468699999999995</v>
      </c>
      <c r="AF110" s="260">
        <v>0.95468699999999995</v>
      </c>
      <c r="AG110" s="260">
        <v>0.95468699999999995</v>
      </c>
      <c r="AH110" s="260">
        <v>0.95468699999999995</v>
      </c>
      <c r="AI110" s="260">
        <v>0.95468699999999995</v>
      </c>
      <c r="AJ110" s="260">
        <v>0.95468699999999995</v>
      </c>
      <c r="AK110" s="260">
        <v>0.95468699999999995</v>
      </c>
      <c r="AL110" s="260">
        <v>0.95468699999999995</v>
      </c>
      <c r="AM110" s="260">
        <v>0.95468699999999995</v>
      </c>
      <c r="AN110" s="260">
        <v>0.95468699999999995</v>
      </c>
      <c r="AO110" s="260">
        <v>0.95468699999999995</v>
      </c>
      <c r="AP110" s="260">
        <v>0.95468699999999995</v>
      </c>
      <c r="AQ110" s="260">
        <v>0.95468699999999995</v>
      </c>
      <c r="AR110" s="260">
        <v>0.95468699999999995</v>
      </c>
      <c r="AS110" s="260">
        <v>0.95468699999999995</v>
      </c>
      <c r="AT110" s="260">
        <v>0.95468699999999995</v>
      </c>
      <c r="AU110" s="260">
        <v>0.95468699999999995</v>
      </c>
      <c r="AV110" s="260">
        <v>0.95468699999999995</v>
      </c>
      <c r="AW110" s="260">
        <v>0.95468699999999995</v>
      </c>
      <c r="AX110" s="260">
        <v>0.95468699999999995</v>
      </c>
      <c r="AY110" s="260">
        <v>0.95468699999999995</v>
      </c>
      <c r="AZ110" s="260">
        <v>0.95468699999999995</v>
      </c>
      <c r="BA110" s="260">
        <v>0.95468699999999995</v>
      </c>
      <c r="BB110" s="260">
        <v>0.95468699999999995</v>
      </c>
      <c r="BC110" s="260">
        <v>0.95468699999999995</v>
      </c>
      <c r="BD110" s="260">
        <v>0.95468699999999995</v>
      </c>
      <c r="BE110" s="260">
        <v>0.95468699999999995</v>
      </c>
      <c r="BF110" s="260">
        <v>0.95468699999999995</v>
      </c>
      <c r="BG110" s="260">
        <v>0.95468699999999995</v>
      </c>
      <c r="BH110" s="260">
        <v>0.95468699999999995</v>
      </c>
      <c r="BI110" s="260">
        <v>0.95468699999999995</v>
      </c>
      <c r="BJ110" s="260">
        <v>0.95468699999999995</v>
      </c>
      <c r="BK110" s="260">
        <v>0.95468699999999995</v>
      </c>
      <c r="BL110" s="260">
        <v>0.95468699999999995</v>
      </c>
      <c r="BM110" s="260">
        <v>0.95468699999999995</v>
      </c>
      <c r="BN110" s="260">
        <v>0.95468699999999995</v>
      </c>
      <c r="BO110" s="260">
        <v>0.95468699999999995</v>
      </c>
      <c r="BP110" s="260">
        <v>0.95468699999999995</v>
      </c>
      <c r="BQ110" s="260">
        <v>0.95468699999999995</v>
      </c>
      <c r="BR110" s="260">
        <v>0.95468699999999995</v>
      </c>
      <c r="BS110" s="260">
        <v>0.95468699999999995</v>
      </c>
      <c r="BT110" s="260">
        <v>0.95468699999999995</v>
      </c>
      <c r="BU110" s="260">
        <v>0.95468699999999995</v>
      </c>
      <c r="BV110" s="260">
        <v>0.95468699999999995</v>
      </c>
      <c r="BW110" s="260">
        <v>0.95468699999999995</v>
      </c>
      <c r="BX110" s="260">
        <v>0.95468699999999995</v>
      </c>
      <c r="BY110" s="260">
        <v>0.95468699999999995</v>
      </c>
      <c r="BZ110" s="260">
        <v>0.95468699999999995</v>
      </c>
      <c r="CA110" s="260">
        <v>0.95468699999999995</v>
      </c>
      <c r="CB110" s="260">
        <v>0.95468699999999995</v>
      </c>
      <c r="CC110" s="260">
        <v>0.95468699999999995</v>
      </c>
      <c r="CD110" s="260">
        <v>0.95468699999999995</v>
      </c>
      <c r="CE110" s="260">
        <v>0.95468699999999995</v>
      </c>
      <c r="CF110" s="260">
        <v>0.95468699999999995</v>
      </c>
      <c r="CG110" s="260">
        <v>0.95468699999999995</v>
      </c>
      <c r="CH110" s="260">
        <v>0.95468699999999995</v>
      </c>
    </row>
    <row r="111" spans="1:86" x14ac:dyDescent="0.25">
      <c r="A111" s="170">
        <v>1</v>
      </c>
      <c r="B111" s="170">
        <v>110</v>
      </c>
      <c r="C111" s="259">
        <v>0.54166698455810547</v>
      </c>
      <c r="D111" s="259">
        <v>0.54166698455810547</v>
      </c>
      <c r="E111" s="259">
        <v>0.54166698455810547</v>
      </c>
      <c r="F111" s="259">
        <v>0.54166698455810547</v>
      </c>
      <c r="G111" s="259">
        <v>0.54166698455810547</v>
      </c>
      <c r="H111" s="259">
        <v>0.54166698455810547</v>
      </c>
      <c r="I111" s="260">
        <v>0.54166700000000001</v>
      </c>
      <c r="J111" s="260">
        <v>0.54166700000000001</v>
      </c>
      <c r="K111" s="260">
        <v>0.54166700000000001</v>
      </c>
      <c r="L111" s="260">
        <v>0.54166700000000001</v>
      </c>
      <c r="M111" s="260">
        <v>0.54166700000000001</v>
      </c>
      <c r="N111" s="260">
        <v>0.54166700000000001</v>
      </c>
      <c r="O111" s="260">
        <v>0.54166700000000001</v>
      </c>
      <c r="P111" s="260">
        <v>0.54166700000000001</v>
      </c>
      <c r="Q111" s="260">
        <v>0.54166700000000001</v>
      </c>
      <c r="R111" s="260">
        <v>0.54166700000000001</v>
      </c>
      <c r="S111" s="260">
        <v>0.54166700000000001</v>
      </c>
      <c r="T111" s="260">
        <v>0.54166700000000001</v>
      </c>
      <c r="U111" s="260">
        <v>0.54166700000000001</v>
      </c>
      <c r="V111" s="260">
        <v>0.54166700000000001</v>
      </c>
      <c r="W111" s="260">
        <v>0.54166700000000001</v>
      </c>
      <c r="X111" s="260">
        <v>0.54166700000000001</v>
      </c>
      <c r="Y111" s="260">
        <v>0.54166700000000001</v>
      </c>
      <c r="Z111" s="260">
        <v>0.54166700000000001</v>
      </c>
      <c r="AA111" s="260">
        <v>0.54166700000000001</v>
      </c>
      <c r="AB111" s="260">
        <v>0.54166700000000001</v>
      </c>
      <c r="AC111" s="260">
        <v>0.54166700000000001</v>
      </c>
      <c r="AD111" s="260">
        <v>0.54166700000000001</v>
      </c>
      <c r="AE111" s="260">
        <v>0.54166700000000001</v>
      </c>
      <c r="AF111" s="260">
        <v>0.54166700000000001</v>
      </c>
      <c r="AG111" s="260">
        <v>0.54166700000000001</v>
      </c>
      <c r="AH111" s="260">
        <v>0.54166700000000001</v>
      </c>
      <c r="AI111" s="260">
        <v>0.54166700000000001</v>
      </c>
      <c r="AJ111" s="260">
        <v>0.54166700000000001</v>
      </c>
      <c r="AK111" s="260">
        <v>0.54166700000000001</v>
      </c>
      <c r="AL111" s="260">
        <v>0.54166700000000001</v>
      </c>
      <c r="AM111" s="260">
        <v>0.54166700000000001</v>
      </c>
      <c r="AN111" s="260">
        <v>0.54166700000000001</v>
      </c>
      <c r="AO111" s="260">
        <v>0.54166700000000001</v>
      </c>
      <c r="AP111" s="260">
        <v>0.54166700000000001</v>
      </c>
      <c r="AQ111" s="260">
        <v>0.54166700000000001</v>
      </c>
      <c r="AR111" s="260">
        <v>0.54166700000000001</v>
      </c>
      <c r="AS111" s="260">
        <v>0.54166700000000001</v>
      </c>
      <c r="AT111" s="260">
        <v>0.54166700000000001</v>
      </c>
      <c r="AU111" s="260">
        <v>0.54166700000000001</v>
      </c>
      <c r="AV111" s="260">
        <v>0.54166700000000001</v>
      </c>
      <c r="AW111" s="260">
        <v>0.54166700000000001</v>
      </c>
      <c r="AX111" s="260">
        <v>0.54166700000000001</v>
      </c>
      <c r="AY111" s="260">
        <v>0.54166700000000001</v>
      </c>
      <c r="AZ111" s="260">
        <v>0.54166700000000001</v>
      </c>
      <c r="BA111" s="260">
        <v>0.54166700000000001</v>
      </c>
      <c r="BB111" s="260">
        <v>0.54166700000000001</v>
      </c>
      <c r="BC111" s="260">
        <v>0.54166700000000001</v>
      </c>
      <c r="BD111" s="260">
        <v>0.54166700000000001</v>
      </c>
      <c r="BE111" s="260">
        <v>0.54166700000000001</v>
      </c>
      <c r="BF111" s="260">
        <v>0.54166700000000001</v>
      </c>
      <c r="BG111" s="260">
        <v>0.54166700000000001</v>
      </c>
      <c r="BH111" s="260">
        <v>0.54166700000000001</v>
      </c>
      <c r="BI111" s="260">
        <v>0.54166700000000001</v>
      </c>
      <c r="BJ111" s="260">
        <v>0.54166700000000001</v>
      </c>
      <c r="BK111" s="260">
        <v>0.54166700000000001</v>
      </c>
      <c r="BL111" s="260">
        <v>0.54166700000000001</v>
      </c>
      <c r="BM111" s="260">
        <v>0.54166700000000001</v>
      </c>
      <c r="BN111" s="260">
        <v>0.54166700000000001</v>
      </c>
      <c r="BO111" s="260">
        <v>0.54166700000000001</v>
      </c>
      <c r="BP111" s="260">
        <v>0.54166700000000001</v>
      </c>
      <c r="BQ111" s="260">
        <v>0.54166700000000001</v>
      </c>
      <c r="BR111" s="260">
        <v>0.54166700000000001</v>
      </c>
      <c r="BS111" s="260">
        <v>0.54166700000000001</v>
      </c>
      <c r="BT111" s="260">
        <v>0.54166700000000001</v>
      </c>
      <c r="BU111" s="260">
        <v>0.54166700000000001</v>
      </c>
      <c r="BV111" s="260">
        <v>0.54166700000000001</v>
      </c>
      <c r="BW111" s="260">
        <v>0.54166700000000001</v>
      </c>
      <c r="BX111" s="260">
        <v>0.54166700000000001</v>
      </c>
      <c r="BY111" s="260">
        <v>0.54166700000000001</v>
      </c>
      <c r="BZ111" s="260">
        <v>0.54166700000000001</v>
      </c>
      <c r="CA111" s="260">
        <v>0.54166700000000001</v>
      </c>
      <c r="CB111" s="260">
        <v>0.54166700000000001</v>
      </c>
      <c r="CC111" s="260">
        <v>0.54166700000000001</v>
      </c>
      <c r="CD111" s="260">
        <v>0.54166700000000001</v>
      </c>
      <c r="CE111" s="260">
        <v>0.54166700000000001</v>
      </c>
      <c r="CF111" s="260">
        <v>0.54166700000000001</v>
      </c>
      <c r="CG111" s="260">
        <v>0.54166700000000001</v>
      </c>
      <c r="CH111" s="260">
        <v>0.54166700000000001</v>
      </c>
    </row>
    <row r="112" spans="1:86" x14ac:dyDescent="0.25">
      <c r="A112" s="170">
        <v>2</v>
      </c>
      <c r="B112" s="170">
        <v>1</v>
      </c>
      <c r="C112" s="259">
        <v>0</v>
      </c>
      <c r="D112" s="259">
        <v>0</v>
      </c>
      <c r="E112" s="259">
        <v>0</v>
      </c>
      <c r="F112" s="259">
        <v>0</v>
      </c>
      <c r="G112" s="259">
        <v>0</v>
      </c>
      <c r="H112" s="259">
        <v>0</v>
      </c>
      <c r="I112" s="260">
        <v>0</v>
      </c>
      <c r="J112" s="260">
        <v>0</v>
      </c>
      <c r="K112" s="260">
        <v>0</v>
      </c>
      <c r="L112" s="260">
        <v>0</v>
      </c>
      <c r="M112" s="260">
        <v>0</v>
      </c>
      <c r="N112" s="260">
        <v>0</v>
      </c>
      <c r="O112" s="260">
        <v>0</v>
      </c>
      <c r="P112" s="260">
        <v>0</v>
      </c>
      <c r="Q112" s="260">
        <v>0</v>
      </c>
      <c r="R112" s="260">
        <v>0</v>
      </c>
      <c r="S112" s="260">
        <v>0</v>
      </c>
      <c r="T112" s="260">
        <v>0</v>
      </c>
      <c r="U112" s="260">
        <v>0</v>
      </c>
      <c r="V112" s="260">
        <v>0</v>
      </c>
      <c r="W112" s="260">
        <v>0</v>
      </c>
      <c r="X112" s="260">
        <v>0</v>
      </c>
      <c r="Y112" s="260">
        <v>0</v>
      </c>
      <c r="Z112" s="260">
        <v>0</v>
      </c>
      <c r="AA112" s="260">
        <v>0</v>
      </c>
      <c r="AB112" s="260">
        <v>0</v>
      </c>
      <c r="AC112" s="260">
        <v>0</v>
      </c>
      <c r="AD112" s="260">
        <v>0</v>
      </c>
      <c r="AE112" s="260">
        <v>0</v>
      </c>
      <c r="AF112" s="260">
        <v>0</v>
      </c>
      <c r="AG112" s="260">
        <v>0</v>
      </c>
      <c r="AH112" s="260">
        <v>0</v>
      </c>
      <c r="AI112" s="260">
        <v>0</v>
      </c>
      <c r="AJ112" s="260">
        <v>0</v>
      </c>
      <c r="AK112" s="260">
        <v>0</v>
      </c>
      <c r="AL112" s="260">
        <v>0</v>
      </c>
      <c r="AM112" s="260">
        <v>0</v>
      </c>
      <c r="AN112" s="260">
        <v>0</v>
      </c>
      <c r="AO112" s="260">
        <v>0</v>
      </c>
      <c r="AP112" s="260">
        <v>0</v>
      </c>
      <c r="AQ112" s="260">
        <v>0</v>
      </c>
      <c r="AR112" s="260">
        <v>0</v>
      </c>
      <c r="AS112" s="260">
        <v>0</v>
      </c>
      <c r="AT112" s="260">
        <v>0</v>
      </c>
      <c r="AU112" s="260">
        <v>0</v>
      </c>
      <c r="AV112" s="260">
        <v>0</v>
      </c>
      <c r="AW112" s="260">
        <v>0</v>
      </c>
      <c r="AX112" s="260">
        <v>0</v>
      </c>
      <c r="AY112" s="260">
        <v>0</v>
      </c>
      <c r="AZ112" s="260">
        <v>0</v>
      </c>
      <c r="BA112" s="260">
        <v>0</v>
      </c>
      <c r="BB112" s="260">
        <v>0</v>
      </c>
      <c r="BC112" s="260">
        <v>0</v>
      </c>
      <c r="BD112" s="260">
        <v>0</v>
      </c>
      <c r="BE112" s="260">
        <v>0</v>
      </c>
      <c r="BF112" s="260">
        <v>0</v>
      </c>
      <c r="BG112" s="260">
        <v>0</v>
      </c>
      <c r="BH112" s="260">
        <v>0</v>
      </c>
      <c r="BI112" s="260">
        <v>0</v>
      </c>
      <c r="BJ112" s="260">
        <v>0</v>
      </c>
      <c r="BK112" s="260">
        <v>0</v>
      </c>
      <c r="BL112" s="260">
        <v>0</v>
      </c>
      <c r="BM112" s="260">
        <v>0</v>
      </c>
      <c r="BN112" s="260">
        <v>0</v>
      </c>
      <c r="BO112" s="260">
        <v>0</v>
      </c>
      <c r="BP112" s="260">
        <v>0</v>
      </c>
      <c r="BQ112" s="260">
        <v>0</v>
      </c>
      <c r="BR112" s="260">
        <v>0</v>
      </c>
      <c r="BS112" s="260">
        <v>0</v>
      </c>
      <c r="BT112" s="260">
        <v>0</v>
      </c>
      <c r="BU112" s="260">
        <v>0</v>
      </c>
      <c r="BV112" s="260">
        <v>0</v>
      </c>
      <c r="BW112" s="260">
        <v>0</v>
      </c>
      <c r="BX112" s="260">
        <v>0</v>
      </c>
      <c r="BY112" s="260">
        <v>0</v>
      </c>
      <c r="BZ112" s="260">
        <v>0</v>
      </c>
      <c r="CA112" s="260">
        <v>0</v>
      </c>
      <c r="CB112" s="260">
        <v>0</v>
      </c>
      <c r="CC112" s="260">
        <v>0</v>
      </c>
      <c r="CD112" s="260">
        <v>0</v>
      </c>
      <c r="CE112" s="260">
        <v>0</v>
      </c>
      <c r="CF112" s="260">
        <v>0</v>
      </c>
      <c r="CG112" s="260">
        <v>0</v>
      </c>
      <c r="CH112" s="260">
        <v>0</v>
      </c>
    </row>
    <row r="113" spans="1:86" x14ac:dyDescent="0.25">
      <c r="A113" s="170">
        <v>2</v>
      </c>
      <c r="B113" s="170">
        <v>2</v>
      </c>
      <c r="C113" s="259">
        <v>0</v>
      </c>
      <c r="D113" s="259">
        <v>0</v>
      </c>
      <c r="E113" s="259">
        <v>0</v>
      </c>
      <c r="F113" s="259">
        <v>0</v>
      </c>
      <c r="G113" s="259">
        <v>0</v>
      </c>
      <c r="H113" s="259">
        <v>0</v>
      </c>
      <c r="I113" s="260">
        <v>0</v>
      </c>
      <c r="J113" s="260">
        <v>0</v>
      </c>
      <c r="K113" s="260">
        <v>0</v>
      </c>
      <c r="L113" s="260">
        <v>0</v>
      </c>
      <c r="M113" s="260">
        <v>0</v>
      </c>
      <c r="N113" s="260">
        <v>0</v>
      </c>
      <c r="O113" s="260">
        <v>0</v>
      </c>
      <c r="P113" s="260">
        <v>0</v>
      </c>
      <c r="Q113" s="260">
        <v>0</v>
      </c>
      <c r="R113" s="260">
        <v>0</v>
      </c>
      <c r="S113" s="260">
        <v>0</v>
      </c>
      <c r="T113" s="260">
        <v>0</v>
      </c>
      <c r="U113" s="260">
        <v>0</v>
      </c>
      <c r="V113" s="260">
        <v>0</v>
      </c>
      <c r="W113" s="260">
        <v>0</v>
      </c>
      <c r="X113" s="260">
        <v>0</v>
      </c>
      <c r="Y113" s="260">
        <v>0</v>
      </c>
      <c r="Z113" s="260">
        <v>0</v>
      </c>
      <c r="AA113" s="260">
        <v>0</v>
      </c>
      <c r="AB113" s="260">
        <v>0</v>
      </c>
      <c r="AC113" s="260">
        <v>0</v>
      </c>
      <c r="AD113" s="260">
        <v>0</v>
      </c>
      <c r="AE113" s="260">
        <v>0</v>
      </c>
      <c r="AF113" s="260">
        <v>0</v>
      </c>
      <c r="AG113" s="260">
        <v>0</v>
      </c>
      <c r="AH113" s="260">
        <v>0</v>
      </c>
      <c r="AI113" s="260">
        <v>0</v>
      </c>
      <c r="AJ113" s="260">
        <v>0</v>
      </c>
      <c r="AK113" s="260">
        <v>0</v>
      </c>
      <c r="AL113" s="260">
        <v>0</v>
      </c>
      <c r="AM113" s="260">
        <v>0</v>
      </c>
      <c r="AN113" s="260">
        <v>0</v>
      </c>
      <c r="AO113" s="260">
        <v>0</v>
      </c>
      <c r="AP113" s="260">
        <v>0</v>
      </c>
      <c r="AQ113" s="260">
        <v>0</v>
      </c>
      <c r="AR113" s="260">
        <v>0</v>
      </c>
      <c r="AS113" s="260">
        <v>0</v>
      </c>
      <c r="AT113" s="260">
        <v>0</v>
      </c>
      <c r="AU113" s="260">
        <v>0</v>
      </c>
      <c r="AV113" s="260">
        <v>0</v>
      </c>
      <c r="AW113" s="260">
        <v>0</v>
      </c>
      <c r="AX113" s="260">
        <v>0</v>
      </c>
      <c r="AY113" s="260">
        <v>0</v>
      </c>
      <c r="AZ113" s="260">
        <v>0</v>
      </c>
      <c r="BA113" s="260">
        <v>0</v>
      </c>
      <c r="BB113" s="260">
        <v>0</v>
      </c>
      <c r="BC113" s="260">
        <v>0</v>
      </c>
      <c r="BD113" s="260">
        <v>0</v>
      </c>
      <c r="BE113" s="260">
        <v>0</v>
      </c>
      <c r="BF113" s="260">
        <v>0</v>
      </c>
      <c r="BG113" s="260">
        <v>0</v>
      </c>
      <c r="BH113" s="260">
        <v>0</v>
      </c>
      <c r="BI113" s="260">
        <v>0</v>
      </c>
      <c r="BJ113" s="260">
        <v>0</v>
      </c>
      <c r="BK113" s="260">
        <v>0</v>
      </c>
      <c r="BL113" s="260">
        <v>0</v>
      </c>
      <c r="BM113" s="260">
        <v>0</v>
      </c>
      <c r="BN113" s="260">
        <v>0</v>
      </c>
      <c r="BO113" s="260">
        <v>0</v>
      </c>
      <c r="BP113" s="260">
        <v>0</v>
      </c>
      <c r="BQ113" s="260">
        <v>0</v>
      </c>
      <c r="BR113" s="260">
        <v>0</v>
      </c>
      <c r="BS113" s="260">
        <v>0</v>
      </c>
      <c r="BT113" s="260">
        <v>0</v>
      </c>
      <c r="BU113" s="260">
        <v>0</v>
      </c>
      <c r="BV113" s="260">
        <v>0</v>
      </c>
      <c r="BW113" s="260">
        <v>0</v>
      </c>
      <c r="BX113" s="260">
        <v>0</v>
      </c>
      <c r="BY113" s="260">
        <v>0</v>
      </c>
      <c r="BZ113" s="260">
        <v>0</v>
      </c>
      <c r="CA113" s="260">
        <v>0</v>
      </c>
      <c r="CB113" s="260">
        <v>0</v>
      </c>
      <c r="CC113" s="260">
        <v>0</v>
      </c>
      <c r="CD113" s="260">
        <v>0</v>
      </c>
      <c r="CE113" s="260">
        <v>0</v>
      </c>
      <c r="CF113" s="260">
        <v>0</v>
      </c>
      <c r="CG113" s="260">
        <v>0</v>
      </c>
      <c r="CH113" s="260">
        <v>0</v>
      </c>
    </row>
    <row r="114" spans="1:86" x14ac:dyDescent="0.25">
      <c r="A114" s="170">
        <v>2</v>
      </c>
      <c r="B114" s="170">
        <v>3</v>
      </c>
      <c r="C114" s="259">
        <v>0</v>
      </c>
      <c r="D114" s="259">
        <v>0</v>
      </c>
      <c r="E114" s="259">
        <v>0</v>
      </c>
      <c r="F114" s="259">
        <v>0</v>
      </c>
      <c r="G114" s="259">
        <v>0</v>
      </c>
      <c r="H114" s="259">
        <v>0</v>
      </c>
      <c r="I114" s="260">
        <v>0</v>
      </c>
      <c r="J114" s="260">
        <v>0</v>
      </c>
      <c r="K114" s="260">
        <v>0</v>
      </c>
      <c r="L114" s="260">
        <v>0</v>
      </c>
      <c r="M114" s="260">
        <v>0</v>
      </c>
      <c r="N114" s="260">
        <v>0</v>
      </c>
      <c r="O114" s="260">
        <v>0</v>
      </c>
      <c r="P114" s="260">
        <v>0</v>
      </c>
      <c r="Q114" s="260">
        <v>0</v>
      </c>
      <c r="R114" s="260">
        <v>0</v>
      </c>
      <c r="S114" s="260">
        <v>0</v>
      </c>
      <c r="T114" s="260">
        <v>0</v>
      </c>
      <c r="U114" s="260">
        <v>0</v>
      </c>
      <c r="V114" s="260">
        <v>0</v>
      </c>
      <c r="W114" s="260">
        <v>0</v>
      </c>
      <c r="X114" s="260">
        <v>0</v>
      </c>
      <c r="Y114" s="260">
        <v>0</v>
      </c>
      <c r="Z114" s="260">
        <v>0</v>
      </c>
      <c r="AA114" s="260">
        <v>0</v>
      </c>
      <c r="AB114" s="260">
        <v>0</v>
      </c>
      <c r="AC114" s="260">
        <v>0</v>
      </c>
      <c r="AD114" s="260">
        <v>0</v>
      </c>
      <c r="AE114" s="260">
        <v>0</v>
      </c>
      <c r="AF114" s="260">
        <v>0</v>
      </c>
      <c r="AG114" s="260">
        <v>0</v>
      </c>
      <c r="AH114" s="260">
        <v>0</v>
      </c>
      <c r="AI114" s="260">
        <v>0</v>
      </c>
      <c r="AJ114" s="260">
        <v>0</v>
      </c>
      <c r="AK114" s="260">
        <v>0</v>
      </c>
      <c r="AL114" s="260">
        <v>0</v>
      </c>
      <c r="AM114" s="260">
        <v>0</v>
      </c>
      <c r="AN114" s="260">
        <v>0</v>
      </c>
      <c r="AO114" s="260">
        <v>0</v>
      </c>
      <c r="AP114" s="260">
        <v>0</v>
      </c>
      <c r="AQ114" s="260">
        <v>0</v>
      </c>
      <c r="AR114" s="260">
        <v>0</v>
      </c>
      <c r="AS114" s="260">
        <v>0</v>
      </c>
      <c r="AT114" s="260">
        <v>0</v>
      </c>
      <c r="AU114" s="260">
        <v>0</v>
      </c>
      <c r="AV114" s="260">
        <v>0</v>
      </c>
      <c r="AW114" s="260">
        <v>0</v>
      </c>
      <c r="AX114" s="260">
        <v>0</v>
      </c>
      <c r="AY114" s="260">
        <v>0</v>
      </c>
      <c r="AZ114" s="260">
        <v>0</v>
      </c>
      <c r="BA114" s="260">
        <v>0</v>
      </c>
      <c r="BB114" s="260">
        <v>0</v>
      </c>
      <c r="BC114" s="260">
        <v>0</v>
      </c>
      <c r="BD114" s="260">
        <v>0</v>
      </c>
      <c r="BE114" s="260">
        <v>0</v>
      </c>
      <c r="BF114" s="260">
        <v>0</v>
      </c>
      <c r="BG114" s="260">
        <v>0</v>
      </c>
      <c r="BH114" s="260">
        <v>0</v>
      </c>
      <c r="BI114" s="260">
        <v>0</v>
      </c>
      <c r="BJ114" s="260">
        <v>0</v>
      </c>
      <c r="BK114" s="260">
        <v>0</v>
      </c>
      <c r="BL114" s="260">
        <v>0</v>
      </c>
      <c r="BM114" s="260">
        <v>0</v>
      </c>
      <c r="BN114" s="260">
        <v>0</v>
      </c>
      <c r="BO114" s="260">
        <v>0</v>
      </c>
      <c r="BP114" s="260">
        <v>0</v>
      </c>
      <c r="BQ114" s="260">
        <v>0</v>
      </c>
      <c r="BR114" s="260">
        <v>0</v>
      </c>
      <c r="BS114" s="260">
        <v>0</v>
      </c>
      <c r="BT114" s="260">
        <v>0</v>
      </c>
      <c r="BU114" s="260">
        <v>0</v>
      </c>
      <c r="BV114" s="260">
        <v>0</v>
      </c>
      <c r="BW114" s="260">
        <v>0</v>
      </c>
      <c r="BX114" s="260">
        <v>0</v>
      </c>
      <c r="BY114" s="260">
        <v>0</v>
      </c>
      <c r="BZ114" s="260">
        <v>0</v>
      </c>
      <c r="CA114" s="260">
        <v>0</v>
      </c>
      <c r="CB114" s="260">
        <v>0</v>
      </c>
      <c r="CC114" s="260">
        <v>0</v>
      </c>
      <c r="CD114" s="260">
        <v>0</v>
      </c>
      <c r="CE114" s="260">
        <v>0</v>
      </c>
      <c r="CF114" s="260">
        <v>0</v>
      </c>
      <c r="CG114" s="260">
        <v>0</v>
      </c>
      <c r="CH114" s="260">
        <v>0</v>
      </c>
    </row>
    <row r="115" spans="1:86" x14ac:dyDescent="0.25">
      <c r="A115" s="170">
        <v>2</v>
      </c>
      <c r="B115" s="170">
        <v>4</v>
      </c>
      <c r="C115" s="259">
        <v>0</v>
      </c>
      <c r="D115" s="259">
        <v>0</v>
      </c>
      <c r="E115" s="259">
        <v>0</v>
      </c>
      <c r="F115" s="259">
        <v>0</v>
      </c>
      <c r="G115" s="259">
        <v>0</v>
      </c>
      <c r="H115" s="259">
        <v>0</v>
      </c>
      <c r="I115" s="260">
        <v>0</v>
      </c>
      <c r="J115" s="260">
        <v>0</v>
      </c>
      <c r="K115" s="260">
        <v>0</v>
      </c>
      <c r="L115" s="260">
        <v>0</v>
      </c>
      <c r="M115" s="260">
        <v>0</v>
      </c>
      <c r="N115" s="260">
        <v>0</v>
      </c>
      <c r="O115" s="260">
        <v>0</v>
      </c>
      <c r="P115" s="260">
        <v>0</v>
      </c>
      <c r="Q115" s="260">
        <v>0</v>
      </c>
      <c r="R115" s="260">
        <v>0</v>
      </c>
      <c r="S115" s="260">
        <v>0</v>
      </c>
      <c r="T115" s="260">
        <v>0</v>
      </c>
      <c r="U115" s="260">
        <v>0</v>
      </c>
      <c r="V115" s="260">
        <v>0</v>
      </c>
      <c r="W115" s="260">
        <v>0</v>
      </c>
      <c r="X115" s="260">
        <v>0</v>
      </c>
      <c r="Y115" s="260">
        <v>0</v>
      </c>
      <c r="Z115" s="260">
        <v>0</v>
      </c>
      <c r="AA115" s="260">
        <v>0</v>
      </c>
      <c r="AB115" s="260">
        <v>0</v>
      </c>
      <c r="AC115" s="260">
        <v>0</v>
      </c>
      <c r="AD115" s="260">
        <v>0</v>
      </c>
      <c r="AE115" s="260">
        <v>0</v>
      </c>
      <c r="AF115" s="260">
        <v>0</v>
      </c>
      <c r="AG115" s="260">
        <v>0</v>
      </c>
      <c r="AH115" s="260">
        <v>0</v>
      </c>
      <c r="AI115" s="260">
        <v>0</v>
      </c>
      <c r="AJ115" s="260">
        <v>0</v>
      </c>
      <c r="AK115" s="260">
        <v>0</v>
      </c>
      <c r="AL115" s="260">
        <v>0</v>
      </c>
      <c r="AM115" s="260">
        <v>0</v>
      </c>
      <c r="AN115" s="260">
        <v>0</v>
      </c>
      <c r="AO115" s="260">
        <v>0</v>
      </c>
      <c r="AP115" s="260">
        <v>0</v>
      </c>
      <c r="AQ115" s="260">
        <v>0</v>
      </c>
      <c r="AR115" s="260">
        <v>0</v>
      </c>
      <c r="AS115" s="260">
        <v>0</v>
      </c>
      <c r="AT115" s="260">
        <v>0</v>
      </c>
      <c r="AU115" s="260">
        <v>0</v>
      </c>
      <c r="AV115" s="260">
        <v>0</v>
      </c>
      <c r="AW115" s="260">
        <v>0</v>
      </c>
      <c r="AX115" s="260">
        <v>0</v>
      </c>
      <c r="AY115" s="260">
        <v>0</v>
      </c>
      <c r="AZ115" s="260">
        <v>0</v>
      </c>
      <c r="BA115" s="260">
        <v>0</v>
      </c>
      <c r="BB115" s="260">
        <v>0</v>
      </c>
      <c r="BC115" s="260">
        <v>0</v>
      </c>
      <c r="BD115" s="260">
        <v>0</v>
      </c>
      <c r="BE115" s="260">
        <v>0</v>
      </c>
      <c r="BF115" s="260">
        <v>0</v>
      </c>
      <c r="BG115" s="260">
        <v>0</v>
      </c>
      <c r="BH115" s="260">
        <v>0</v>
      </c>
      <c r="BI115" s="260">
        <v>0</v>
      </c>
      <c r="BJ115" s="260">
        <v>0</v>
      </c>
      <c r="BK115" s="260">
        <v>0</v>
      </c>
      <c r="BL115" s="260">
        <v>0</v>
      </c>
      <c r="BM115" s="260">
        <v>0</v>
      </c>
      <c r="BN115" s="260">
        <v>0</v>
      </c>
      <c r="BO115" s="260">
        <v>0</v>
      </c>
      <c r="BP115" s="260">
        <v>0</v>
      </c>
      <c r="BQ115" s="260">
        <v>0</v>
      </c>
      <c r="BR115" s="260">
        <v>0</v>
      </c>
      <c r="BS115" s="260">
        <v>0</v>
      </c>
      <c r="BT115" s="260">
        <v>0</v>
      </c>
      <c r="BU115" s="260">
        <v>0</v>
      </c>
      <c r="BV115" s="260">
        <v>0</v>
      </c>
      <c r="BW115" s="260">
        <v>0</v>
      </c>
      <c r="BX115" s="260">
        <v>0</v>
      </c>
      <c r="BY115" s="260">
        <v>0</v>
      </c>
      <c r="BZ115" s="260">
        <v>0</v>
      </c>
      <c r="CA115" s="260">
        <v>0</v>
      </c>
      <c r="CB115" s="260">
        <v>0</v>
      </c>
      <c r="CC115" s="260">
        <v>0</v>
      </c>
      <c r="CD115" s="260">
        <v>0</v>
      </c>
      <c r="CE115" s="260">
        <v>0</v>
      </c>
      <c r="CF115" s="260">
        <v>0</v>
      </c>
      <c r="CG115" s="260">
        <v>0</v>
      </c>
      <c r="CH115" s="260">
        <v>0</v>
      </c>
    </row>
    <row r="116" spans="1:86" x14ac:dyDescent="0.25">
      <c r="A116" s="170">
        <v>2</v>
      </c>
      <c r="B116" s="170">
        <v>5</v>
      </c>
      <c r="C116" s="259">
        <v>0</v>
      </c>
      <c r="D116" s="259">
        <v>0</v>
      </c>
      <c r="E116" s="259">
        <v>0</v>
      </c>
      <c r="F116" s="259">
        <v>0</v>
      </c>
      <c r="G116" s="259">
        <v>0</v>
      </c>
      <c r="H116" s="259">
        <v>0</v>
      </c>
      <c r="I116" s="260">
        <v>0</v>
      </c>
      <c r="J116" s="260">
        <v>0</v>
      </c>
      <c r="K116" s="260">
        <v>0</v>
      </c>
      <c r="L116" s="260">
        <v>0</v>
      </c>
      <c r="M116" s="260">
        <v>0</v>
      </c>
      <c r="N116" s="260">
        <v>0</v>
      </c>
      <c r="O116" s="260">
        <v>0</v>
      </c>
      <c r="P116" s="260">
        <v>0</v>
      </c>
      <c r="Q116" s="260">
        <v>0</v>
      </c>
      <c r="R116" s="260">
        <v>0</v>
      </c>
      <c r="S116" s="260">
        <v>0</v>
      </c>
      <c r="T116" s="260">
        <v>0</v>
      </c>
      <c r="U116" s="260">
        <v>0</v>
      </c>
      <c r="V116" s="260">
        <v>0</v>
      </c>
      <c r="W116" s="260">
        <v>0</v>
      </c>
      <c r="X116" s="260">
        <v>0</v>
      </c>
      <c r="Y116" s="260">
        <v>0</v>
      </c>
      <c r="Z116" s="260">
        <v>0</v>
      </c>
      <c r="AA116" s="260">
        <v>0</v>
      </c>
      <c r="AB116" s="260">
        <v>0</v>
      </c>
      <c r="AC116" s="260">
        <v>0</v>
      </c>
      <c r="AD116" s="260">
        <v>0</v>
      </c>
      <c r="AE116" s="260">
        <v>0</v>
      </c>
      <c r="AF116" s="260">
        <v>0</v>
      </c>
      <c r="AG116" s="260">
        <v>0</v>
      </c>
      <c r="AH116" s="260">
        <v>0</v>
      </c>
      <c r="AI116" s="260">
        <v>0</v>
      </c>
      <c r="AJ116" s="260">
        <v>0</v>
      </c>
      <c r="AK116" s="260">
        <v>0</v>
      </c>
      <c r="AL116" s="260">
        <v>0</v>
      </c>
      <c r="AM116" s="260">
        <v>0</v>
      </c>
      <c r="AN116" s="260">
        <v>0</v>
      </c>
      <c r="AO116" s="260">
        <v>0</v>
      </c>
      <c r="AP116" s="260">
        <v>0</v>
      </c>
      <c r="AQ116" s="260">
        <v>0</v>
      </c>
      <c r="AR116" s="260">
        <v>0</v>
      </c>
      <c r="AS116" s="260">
        <v>0</v>
      </c>
      <c r="AT116" s="260">
        <v>0</v>
      </c>
      <c r="AU116" s="260">
        <v>0</v>
      </c>
      <c r="AV116" s="260">
        <v>0</v>
      </c>
      <c r="AW116" s="260">
        <v>0</v>
      </c>
      <c r="AX116" s="260">
        <v>0</v>
      </c>
      <c r="AY116" s="260">
        <v>0</v>
      </c>
      <c r="AZ116" s="260">
        <v>0</v>
      </c>
      <c r="BA116" s="260">
        <v>0</v>
      </c>
      <c r="BB116" s="260">
        <v>0</v>
      </c>
      <c r="BC116" s="260">
        <v>0</v>
      </c>
      <c r="BD116" s="260">
        <v>0</v>
      </c>
      <c r="BE116" s="260">
        <v>0</v>
      </c>
      <c r="BF116" s="260">
        <v>0</v>
      </c>
      <c r="BG116" s="260">
        <v>0</v>
      </c>
      <c r="BH116" s="260">
        <v>0</v>
      </c>
      <c r="BI116" s="260">
        <v>0</v>
      </c>
      <c r="BJ116" s="260">
        <v>0</v>
      </c>
      <c r="BK116" s="260">
        <v>0</v>
      </c>
      <c r="BL116" s="260">
        <v>0</v>
      </c>
      <c r="BM116" s="260">
        <v>0</v>
      </c>
      <c r="BN116" s="260">
        <v>0</v>
      </c>
      <c r="BO116" s="260">
        <v>0</v>
      </c>
      <c r="BP116" s="260">
        <v>0</v>
      </c>
      <c r="BQ116" s="260">
        <v>0</v>
      </c>
      <c r="BR116" s="260">
        <v>0</v>
      </c>
      <c r="BS116" s="260">
        <v>0</v>
      </c>
      <c r="BT116" s="260">
        <v>0</v>
      </c>
      <c r="BU116" s="260">
        <v>0</v>
      </c>
      <c r="BV116" s="260">
        <v>0</v>
      </c>
      <c r="BW116" s="260">
        <v>0</v>
      </c>
      <c r="BX116" s="260">
        <v>0</v>
      </c>
      <c r="BY116" s="260">
        <v>0</v>
      </c>
      <c r="BZ116" s="260">
        <v>0</v>
      </c>
      <c r="CA116" s="260">
        <v>0</v>
      </c>
      <c r="CB116" s="260">
        <v>0</v>
      </c>
      <c r="CC116" s="260">
        <v>0</v>
      </c>
      <c r="CD116" s="260">
        <v>0</v>
      </c>
      <c r="CE116" s="260">
        <v>0</v>
      </c>
      <c r="CF116" s="260">
        <v>0</v>
      </c>
      <c r="CG116" s="260">
        <v>0</v>
      </c>
      <c r="CH116" s="260">
        <v>0</v>
      </c>
    </row>
    <row r="117" spans="1:86" x14ac:dyDescent="0.25">
      <c r="A117" s="170">
        <v>2</v>
      </c>
      <c r="B117" s="170">
        <v>6</v>
      </c>
      <c r="C117" s="259">
        <v>0</v>
      </c>
      <c r="D117" s="259">
        <v>0</v>
      </c>
      <c r="E117" s="259">
        <v>0</v>
      </c>
      <c r="F117" s="259">
        <v>0</v>
      </c>
      <c r="G117" s="259">
        <v>0</v>
      </c>
      <c r="H117" s="259">
        <v>0</v>
      </c>
      <c r="I117" s="260">
        <v>0</v>
      </c>
      <c r="J117" s="260">
        <v>0</v>
      </c>
      <c r="K117" s="260">
        <v>0</v>
      </c>
      <c r="L117" s="260">
        <v>0</v>
      </c>
      <c r="M117" s="260">
        <v>0</v>
      </c>
      <c r="N117" s="260">
        <v>0</v>
      </c>
      <c r="O117" s="260">
        <v>0</v>
      </c>
      <c r="P117" s="260">
        <v>0</v>
      </c>
      <c r="Q117" s="260">
        <v>0</v>
      </c>
      <c r="R117" s="260">
        <v>0</v>
      </c>
      <c r="S117" s="260">
        <v>0</v>
      </c>
      <c r="T117" s="260">
        <v>0</v>
      </c>
      <c r="U117" s="260">
        <v>0</v>
      </c>
      <c r="V117" s="260">
        <v>0</v>
      </c>
      <c r="W117" s="260">
        <v>0</v>
      </c>
      <c r="X117" s="260">
        <v>0</v>
      </c>
      <c r="Y117" s="260">
        <v>0</v>
      </c>
      <c r="Z117" s="260">
        <v>0</v>
      </c>
      <c r="AA117" s="260">
        <v>0</v>
      </c>
      <c r="AB117" s="260">
        <v>0</v>
      </c>
      <c r="AC117" s="260">
        <v>0</v>
      </c>
      <c r="AD117" s="260">
        <v>0</v>
      </c>
      <c r="AE117" s="260">
        <v>0</v>
      </c>
      <c r="AF117" s="260">
        <v>0</v>
      </c>
      <c r="AG117" s="260">
        <v>0</v>
      </c>
      <c r="AH117" s="260">
        <v>0</v>
      </c>
      <c r="AI117" s="260">
        <v>0</v>
      </c>
      <c r="AJ117" s="260">
        <v>0</v>
      </c>
      <c r="AK117" s="260">
        <v>0</v>
      </c>
      <c r="AL117" s="260">
        <v>0</v>
      </c>
      <c r="AM117" s="260">
        <v>0</v>
      </c>
      <c r="AN117" s="260">
        <v>0</v>
      </c>
      <c r="AO117" s="260">
        <v>0</v>
      </c>
      <c r="AP117" s="260">
        <v>0</v>
      </c>
      <c r="AQ117" s="260">
        <v>0</v>
      </c>
      <c r="AR117" s="260">
        <v>0</v>
      </c>
      <c r="AS117" s="260">
        <v>0</v>
      </c>
      <c r="AT117" s="260">
        <v>0</v>
      </c>
      <c r="AU117" s="260">
        <v>0</v>
      </c>
      <c r="AV117" s="260">
        <v>0</v>
      </c>
      <c r="AW117" s="260">
        <v>0</v>
      </c>
      <c r="AX117" s="260">
        <v>0</v>
      </c>
      <c r="AY117" s="260">
        <v>0</v>
      </c>
      <c r="AZ117" s="260">
        <v>0</v>
      </c>
      <c r="BA117" s="260">
        <v>0</v>
      </c>
      <c r="BB117" s="260">
        <v>0</v>
      </c>
      <c r="BC117" s="260">
        <v>0</v>
      </c>
      <c r="BD117" s="260">
        <v>0</v>
      </c>
      <c r="BE117" s="260">
        <v>0</v>
      </c>
      <c r="BF117" s="260">
        <v>0</v>
      </c>
      <c r="BG117" s="260">
        <v>0</v>
      </c>
      <c r="BH117" s="260">
        <v>0</v>
      </c>
      <c r="BI117" s="260">
        <v>0</v>
      </c>
      <c r="BJ117" s="260">
        <v>0</v>
      </c>
      <c r="BK117" s="260">
        <v>0</v>
      </c>
      <c r="BL117" s="260">
        <v>0</v>
      </c>
      <c r="BM117" s="260">
        <v>0</v>
      </c>
      <c r="BN117" s="260">
        <v>0</v>
      </c>
      <c r="BO117" s="260">
        <v>0</v>
      </c>
      <c r="BP117" s="260">
        <v>0</v>
      </c>
      <c r="BQ117" s="260">
        <v>0</v>
      </c>
      <c r="BR117" s="260">
        <v>0</v>
      </c>
      <c r="BS117" s="260">
        <v>0</v>
      </c>
      <c r="BT117" s="260">
        <v>0</v>
      </c>
      <c r="BU117" s="260">
        <v>0</v>
      </c>
      <c r="BV117" s="260">
        <v>0</v>
      </c>
      <c r="BW117" s="260">
        <v>0</v>
      </c>
      <c r="BX117" s="260">
        <v>0</v>
      </c>
      <c r="BY117" s="260">
        <v>0</v>
      </c>
      <c r="BZ117" s="260">
        <v>0</v>
      </c>
      <c r="CA117" s="260">
        <v>0</v>
      </c>
      <c r="CB117" s="260">
        <v>0</v>
      </c>
      <c r="CC117" s="260">
        <v>0</v>
      </c>
      <c r="CD117" s="260">
        <v>0</v>
      </c>
      <c r="CE117" s="260">
        <v>0</v>
      </c>
      <c r="CF117" s="260">
        <v>0</v>
      </c>
      <c r="CG117" s="260">
        <v>0</v>
      </c>
      <c r="CH117" s="260">
        <v>0</v>
      </c>
    </row>
    <row r="118" spans="1:86" x14ac:dyDescent="0.25">
      <c r="A118" s="170">
        <v>2</v>
      </c>
      <c r="B118" s="170">
        <v>7</v>
      </c>
      <c r="C118" s="259">
        <v>0</v>
      </c>
      <c r="D118" s="259">
        <v>0</v>
      </c>
      <c r="E118" s="259">
        <v>0</v>
      </c>
      <c r="F118" s="259">
        <v>0</v>
      </c>
      <c r="G118" s="259">
        <v>0</v>
      </c>
      <c r="H118" s="259">
        <v>0</v>
      </c>
      <c r="I118" s="260">
        <v>0</v>
      </c>
      <c r="J118" s="260">
        <v>0</v>
      </c>
      <c r="K118" s="260">
        <v>0</v>
      </c>
      <c r="L118" s="260">
        <v>0</v>
      </c>
      <c r="M118" s="260">
        <v>0</v>
      </c>
      <c r="N118" s="260">
        <v>0</v>
      </c>
      <c r="O118" s="260">
        <v>0</v>
      </c>
      <c r="P118" s="260">
        <v>0</v>
      </c>
      <c r="Q118" s="260">
        <v>0</v>
      </c>
      <c r="R118" s="260">
        <v>0</v>
      </c>
      <c r="S118" s="260">
        <v>0</v>
      </c>
      <c r="T118" s="260">
        <v>0</v>
      </c>
      <c r="U118" s="260">
        <v>0</v>
      </c>
      <c r="V118" s="260">
        <v>0</v>
      </c>
      <c r="W118" s="260">
        <v>0</v>
      </c>
      <c r="X118" s="260">
        <v>0</v>
      </c>
      <c r="Y118" s="260">
        <v>0</v>
      </c>
      <c r="Z118" s="260">
        <v>0</v>
      </c>
      <c r="AA118" s="260">
        <v>0</v>
      </c>
      <c r="AB118" s="260">
        <v>0</v>
      </c>
      <c r="AC118" s="260">
        <v>0</v>
      </c>
      <c r="AD118" s="260">
        <v>0</v>
      </c>
      <c r="AE118" s="260">
        <v>0</v>
      </c>
      <c r="AF118" s="260">
        <v>0</v>
      </c>
      <c r="AG118" s="260">
        <v>0</v>
      </c>
      <c r="AH118" s="260">
        <v>0</v>
      </c>
      <c r="AI118" s="260">
        <v>0</v>
      </c>
      <c r="AJ118" s="260">
        <v>0</v>
      </c>
      <c r="AK118" s="260">
        <v>0</v>
      </c>
      <c r="AL118" s="260">
        <v>0</v>
      </c>
      <c r="AM118" s="260">
        <v>0</v>
      </c>
      <c r="AN118" s="260">
        <v>0</v>
      </c>
      <c r="AO118" s="260">
        <v>0</v>
      </c>
      <c r="AP118" s="260">
        <v>0</v>
      </c>
      <c r="AQ118" s="260">
        <v>0</v>
      </c>
      <c r="AR118" s="260">
        <v>0</v>
      </c>
      <c r="AS118" s="260">
        <v>0</v>
      </c>
      <c r="AT118" s="260">
        <v>0</v>
      </c>
      <c r="AU118" s="260">
        <v>0</v>
      </c>
      <c r="AV118" s="260">
        <v>0</v>
      </c>
      <c r="AW118" s="260">
        <v>0</v>
      </c>
      <c r="AX118" s="260">
        <v>0</v>
      </c>
      <c r="AY118" s="260">
        <v>0</v>
      </c>
      <c r="AZ118" s="260">
        <v>0</v>
      </c>
      <c r="BA118" s="260">
        <v>0</v>
      </c>
      <c r="BB118" s="260">
        <v>0</v>
      </c>
      <c r="BC118" s="260">
        <v>0</v>
      </c>
      <c r="BD118" s="260">
        <v>0</v>
      </c>
      <c r="BE118" s="260">
        <v>0</v>
      </c>
      <c r="BF118" s="260">
        <v>0</v>
      </c>
      <c r="BG118" s="260">
        <v>0</v>
      </c>
      <c r="BH118" s="260">
        <v>0</v>
      </c>
      <c r="BI118" s="260">
        <v>0</v>
      </c>
      <c r="BJ118" s="260">
        <v>0</v>
      </c>
      <c r="BK118" s="260">
        <v>0</v>
      </c>
      <c r="BL118" s="260">
        <v>0</v>
      </c>
      <c r="BM118" s="260">
        <v>0</v>
      </c>
      <c r="BN118" s="260">
        <v>0</v>
      </c>
      <c r="BO118" s="260">
        <v>0</v>
      </c>
      <c r="BP118" s="260">
        <v>0</v>
      </c>
      <c r="BQ118" s="260">
        <v>0</v>
      </c>
      <c r="BR118" s="260">
        <v>0</v>
      </c>
      <c r="BS118" s="260">
        <v>0</v>
      </c>
      <c r="BT118" s="260">
        <v>0</v>
      </c>
      <c r="BU118" s="260">
        <v>0</v>
      </c>
      <c r="BV118" s="260">
        <v>0</v>
      </c>
      <c r="BW118" s="260">
        <v>0</v>
      </c>
      <c r="BX118" s="260">
        <v>0</v>
      </c>
      <c r="BY118" s="260">
        <v>0</v>
      </c>
      <c r="BZ118" s="260">
        <v>0</v>
      </c>
      <c r="CA118" s="260">
        <v>0</v>
      </c>
      <c r="CB118" s="260">
        <v>0</v>
      </c>
      <c r="CC118" s="260">
        <v>0</v>
      </c>
      <c r="CD118" s="260">
        <v>0</v>
      </c>
      <c r="CE118" s="260">
        <v>0</v>
      </c>
      <c r="CF118" s="260">
        <v>0</v>
      </c>
      <c r="CG118" s="260">
        <v>0</v>
      </c>
      <c r="CH118" s="260">
        <v>0</v>
      </c>
    </row>
    <row r="119" spans="1:86" x14ac:dyDescent="0.25">
      <c r="A119" s="170">
        <v>2</v>
      </c>
      <c r="B119" s="170">
        <v>8</v>
      </c>
      <c r="C119" s="259">
        <v>0</v>
      </c>
      <c r="D119" s="259">
        <v>0</v>
      </c>
      <c r="E119" s="259">
        <v>0</v>
      </c>
      <c r="F119" s="259">
        <v>0</v>
      </c>
      <c r="G119" s="259">
        <v>0</v>
      </c>
      <c r="H119" s="259">
        <v>0</v>
      </c>
      <c r="I119" s="260">
        <v>0</v>
      </c>
      <c r="J119" s="260">
        <v>0</v>
      </c>
      <c r="K119" s="260">
        <v>0</v>
      </c>
      <c r="L119" s="260">
        <v>0</v>
      </c>
      <c r="M119" s="260">
        <v>0</v>
      </c>
      <c r="N119" s="260">
        <v>0</v>
      </c>
      <c r="O119" s="260">
        <v>0</v>
      </c>
      <c r="P119" s="260">
        <v>0</v>
      </c>
      <c r="Q119" s="260">
        <v>0</v>
      </c>
      <c r="R119" s="260">
        <v>0</v>
      </c>
      <c r="S119" s="260">
        <v>0</v>
      </c>
      <c r="T119" s="260">
        <v>0</v>
      </c>
      <c r="U119" s="260">
        <v>0</v>
      </c>
      <c r="V119" s="260">
        <v>0</v>
      </c>
      <c r="W119" s="260">
        <v>0</v>
      </c>
      <c r="X119" s="260">
        <v>0</v>
      </c>
      <c r="Y119" s="260">
        <v>0</v>
      </c>
      <c r="Z119" s="260">
        <v>0</v>
      </c>
      <c r="AA119" s="260">
        <v>0</v>
      </c>
      <c r="AB119" s="260">
        <v>0</v>
      </c>
      <c r="AC119" s="260">
        <v>0</v>
      </c>
      <c r="AD119" s="260">
        <v>0</v>
      </c>
      <c r="AE119" s="260">
        <v>0</v>
      </c>
      <c r="AF119" s="260">
        <v>0</v>
      </c>
      <c r="AG119" s="260">
        <v>0</v>
      </c>
      <c r="AH119" s="260">
        <v>0</v>
      </c>
      <c r="AI119" s="260">
        <v>0</v>
      </c>
      <c r="AJ119" s="260">
        <v>0</v>
      </c>
      <c r="AK119" s="260">
        <v>0</v>
      </c>
      <c r="AL119" s="260">
        <v>0</v>
      </c>
      <c r="AM119" s="260">
        <v>0</v>
      </c>
      <c r="AN119" s="260">
        <v>0</v>
      </c>
      <c r="AO119" s="260">
        <v>0</v>
      </c>
      <c r="AP119" s="260">
        <v>0</v>
      </c>
      <c r="AQ119" s="260">
        <v>0</v>
      </c>
      <c r="AR119" s="260">
        <v>0</v>
      </c>
      <c r="AS119" s="260">
        <v>0</v>
      </c>
      <c r="AT119" s="260">
        <v>0</v>
      </c>
      <c r="AU119" s="260">
        <v>0</v>
      </c>
      <c r="AV119" s="260">
        <v>0</v>
      </c>
      <c r="AW119" s="260">
        <v>0</v>
      </c>
      <c r="AX119" s="260">
        <v>0</v>
      </c>
      <c r="AY119" s="260">
        <v>0</v>
      </c>
      <c r="AZ119" s="260">
        <v>0</v>
      </c>
      <c r="BA119" s="260">
        <v>0</v>
      </c>
      <c r="BB119" s="260">
        <v>0</v>
      </c>
      <c r="BC119" s="260">
        <v>0</v>
      </c>
      <c r="BD119" s="260">
        <v>0</v>
      </c>
      <c r="BE119" s="260">
        <v>0</v>
      </c>
      <c r="BF119" s="260">
        <v>0</v>
      </c>
      <c r="BG119" s="260">
        <v>0</v>
      </c>
      <c r="BH119" s="260">
        <v>0</v>
      </c>
      <c r="BI119" s="260">
        <v>0</v>
      </c>
      <c r="BJ119" s="260">
        <v>0</v>
      </c>
      <c r="BK119" s="260">
        <v>0</v>
      </c>
      <c r="BL119" s="260">
        <v>0</v>
      </c>
      <c r="BM119" s="260">
        <v>0</v>
      </c>
      <c r="BN119" s="260">
        <v>0</v>
      </c>
      <c r="BO119" s="260">
        <v>0</v>
      </c>
      <c r="BP119" s="260">
        <v>0</v>
      </c>
      <c r="BQ119" s="260">
        <v>0</v>
      </c>
      <c r="BR119" s="260">
        <v>0</v>
      </c>
      <c r="BS119" s="260">
        <v>0</v>
      </c>
      <c r="BT119" s="260">
        <v>0</v>
      </c>
      <c r="BU119" s="260">
        <v>0</v>
      </c>
      <c r="BV119" s="260">
        <v>0</v>
      </c>
      <c r="BW119" s="260">
        <v>0</v>
      </c>
      <c r="BX119" s="260">
        <v>0</v>
      </c>
      <c r="BY119" s="260">
        <v>0</v>
      </c>
      <c r="BZ119" s="260">
        <v>0</v>
      </c>
      <c r="CA119" s="260">
        <v>0</v>
      </c>
      <c r="CB119" s="260">
        <v>0</v>
      </c>
      <c r="CC119" s="260">
        <v>0</v>
      </c>
      <c r="CD119" s="260">
        <v>0</v>
      </c>
      <c r="CE119" s="260">
        <v>0</v>
      </c>
      <c r="CF119" s="260">
        <v>0</v>
      </c>
      <c r="CG119" s="260">
        <v>0</v>
      </c>
      <c r="CH119" s="260">
        <v>0</v>
      </c>
    </row>
    <row r="120" spans="1:86" x14ac:dyDescent="0.25">
      <c r="A120" s="170">
        <v>2</v>
      </c>
      <c r="B120" s="170">
        <v>9</v>
      </c>
      <c r="C120" s="259">
        <v>0</v>
      </c>
      <c r="D120" s="259">
        <v>0</v>
      </c>
      <c r="E120" s="259">
        <v>0</v>
      </c>
      <c r="F120" s="259">
        <v>0</v>
      </c>
      <c r="G120" s="259">
        <v>0</v>
      </c>
      <c r="H120" s="259">
        <v>0</v>
      </c>
      <c r="I120" s="260">
        <v>0</v>
      </c>
      <c r="J120" s="260">
        <v>0</v>
      </c>
      <c r="K120" s="260">
        <v>0</v>
      </c>
      <c r="L120" s="260">
        <v>0</v>
      </c>
      <c r="M120" s="260">
        <v>0</v>
      </c>
      <c r="N120" s="260">
        <v>0</v>
      </c>
      <c r="O120" s="260">
        <v>0</v>
      </c>
      <c r="P120" s="260">
        <v>0</v>
      </c>
      <c r="Q120" s="260">
        <v>0</v>
      </c>
      <c r="R120" s="260">
        <v>0</v>
      </c>
      <c r="S120" s="260">
        <v>0</v>
      </c>
      <c r="T120" s="260">
        <v>0</v>
      </c>
      <c r="U120" s="260">
        <v>0</v>
      </c>
      <c r="V120" s="260">
        <v>0</v>
      </c>
      <c r="W120" s="260">
        <v>0</v>
      </c>
      <c r="X120" s="260">
        <v>0</v>
      </c>
      <c r="Y120" s="260">
        <v>0</v>
      </c>
      <c r="Z120" s="260">
        <v>0</v>
      </c>
      <c r="AA120" s="260">
        <v>0</v>
      </c>
      <c r="AB120" s="260">
        <v>0</v>
      </c>
      <c r="AC120" s="260">
        <v>0</v>
      </c>
      <c r="AD120" s="260">
        <v>0</v>
      </c>
      <c r="AE120" s="260">
        <v>0</v>
      </c>
      <c r="AF120" s="260">
        <v>0</v>
      </c>
      <c r="AG120" s="260">
        <v>0</v>
      </c>
      <c r="AH120" s="260">
        <v>0</v>
      </c>
      <c r="AI120" s="260">
        <v>0</v>
      </c>
      <c r="AJ120" s="260">
        <v>0</v>
      </c>
      <c r="AK120" s="260">
        <v>0</v>
      </c>
      <c r="AL120" s="260">
        <v>0</v>
      </c>
      <c r="AM120" s="260">
        <v>0</v>
      </c>
      <c r="AN120" s="260">
        <v>0</v>
      </c>
      <c r="AO120" s="260">
        <v>0</v>
      </c>
      <c r="AP120" s="260">
        <v>0</v>
      </c>
      <c r="AQ120" s="260">
        <v>0</v>
      </c>
      <c r="AR120" s="260">
        <v>0</v>
      </c>
      <c r="AS120" s="260">
        <v>0</v>
      </c>
      <c r="AT120" s="260">
        <v>0</v>
      </c>
      <c r="AU120" s="260">
        <v>0</v>
      </c>
      <c r="AV120" s="260">
        <v>0</v>
      </c>
      <c r="AW120" s="260">
        <v>0</v>
      </c>
      <c r="AX120" s="260">
        <v>0</v>
      </c>
      <c r="AY120" s="260">
        <v>0</v>
      </c>
      <c r="AZ120" s="260">
        <v>0</v>
      </c>
      <c r="BA120" s="260">
        <v>0</v>
      </c>
      <c r="BB120" s="260">
        <v>0</v>
      </c>
      <c r="BC120" s="260">
        <v>0</v>
      </c>
      <c r="BD120" s="260">
        <v>0</v>
      </c>
      <c r="BE120" s="260">
        <v>0</v>
      </c>
      <c r="BF120" s="260">
        <v>0</v>
      </c>
      <c r="BG120" s="260">
        <v>0</v>
      </c>
      <c r="BH120" s="260">
        <v>0</v>
      </c>
      <c r="BI120" s="260">
        <v>0</v>
      </c>
      <c r="BJ120" s="260">
        <v>0</v>
      </c>
      <c r="BK120" s="260">
        <v>0</v>
      </c>
      <c r="BL120" s="260">
        <v>0</v>
      </c>
      <c r="BM120" s="260">
        <v>0</v>
      </c>
      <c r="BN120" s="260">
        <v>0</v>
      </c>
      <c r="BO120" s="260">
        <v>0</v>
      </c>
      <c r="BP120" s="260">
        <v>0</v>
      </c>
      <c r="BQ120" s="260">
        <v>0</v>
      </c>
      <c r="BR120" s="260">
        <v>0</v>
      </c>
      <c r="BS120" s="260">
        <v>0</v>
      </c>
      <c r="BT120" s="260">
        <v>0</v>
      </c>
      <c r="BU120" s="260">
        <v>0</v>
      </c>
      <c r="BV120" s="260">
        <v>0</v>
      </c>
      <c r="BW120" s="260">
        <v>0</v>
      </c>
      <c r="BX120" s="260">
        <v>0</v>
      </c>
      <c r="BY120" s="260">
        <v>0</v>
      </c>
      <c r="BZ120" s="260">
        <v>0</v>
      </c>
      <c r="CA120" s="260">
        <v>0</v>
      </c>
      <c r="CB120" s="260">
        <v>0</v>
      </c>
      <c r="CC120" s="260">
        <v>0</v>
      </c>
      <c r="CD120" s="260">
        <v>0</v>
      </c>
      <c r="CE120" s="260">
        <v>0</v>
      </c>
      <c r="CF120" s="260">
        <v>0</v>
      </c>
      <c r="CG120" s="260">
        <v>0</v>
      </c>
      <c r="CH120" s="260">
        <v>0</v>
      </c>
    </row>
    <row r="121" spans="1:86" x14ac:dyDescent="0.25">
      <c r="A121" s="170">
        <v>2</v>
      </c>
      <c r="B121" s="170">
        <v>10</v>
      </c>
      <c r="C121" s="259">
        <v>0</v>
      </c>
      <c r="D121" s="259">
        <v>0</v>
      </c>
      <c r="E121" s="259">
        <v>0</v>
      </c>
      <c r="F121" s="259">
        <v>0</v>
      </c>
      <c r="G121" s="259">
        <v>0</v>
      </c>
      <c r="H121" s="259">
        <v>0</v>
      </c>
      <c r="I121" s="260">
        <v>0</v>
      </c>
      <c r="J121" s="260">
        <v>0</v>
      </c>
      <c r="K121" s="260">
        <v>0</v>
      </c>
      <c r="L121" s="260">
        <v>0</v>
      </c>
      <c r="M121" s="260">
        <v>0</v>
      </c>
      <c r="N121" s="260">
        <v>0</v>
      </c>
      <c r="O121" s="260">
        <v>0</v>
      </c>
      <c r="P121" s="260">
        <v>0</v>
      </c>
      <c r="Q121" s="260">
        <v>0</v>
      </c>
      <c r="R121" s="260">
        <v>0</v>
      </c>
      <c r="S121" s="260">
        <v>0</v>
      </c>
      <c r="T121" s="260">
        <v>0</v>
      </c>
      <c r="U121" s="260">
        <v>0</v>
      </c>
      <c r="V121" s="260">
        <v>0</v>
      </c>
      <c r="W121" s="260">
        <v>0</v>
      </c>
      <c r="X121" s="260">
        <v>0</v>
      </c>
      <c r="Y121" s="260">
        <v>0</v>
      </c>
      <c r="Z121" s="260">
        <v>0</v>
      </c>
      <c r="AA121" s="260">
        <v>0</v>
      </c>
      <c r="AB121" s="260">
        <v>0</v>
      </c>
      <c r="AC121" s="260">
        <v>0</v>
      </c>
      <c r="AD121" s="260">
        <v>0</v>
      </c>
      <c r="AE121" s="260">
        <v>0</v>
      </c>
      <c r="AF121" s="260">
        <v>0</v>
      </c>
      <c r="AG121" s="260">
        <v>0</v>
      </c>
      <c r="AH121" s="260">
        <v>0</v>
      </c>
      <c r="AI121" s="260">
        <v>0</v>
      </c>
      <c r="AJ121" s="260">
        <v>0</v>
      </c>
      <c r="AK121" s="260">
        <v>0</v>
      </c>
      <c r="AL121" s="260">
        <v>0</v>
      </c>
      <c r="AM121" s="260">
        <v>0</v>
      </c>
      <c r="AN121" s="260">
        <v>0</v>
      </c>
      <c r="AO121" s="260">
        <v>0</v>
      </c>
      <c r="AP121" s="260">
        <v>0</v>
      </c>
      <c r="AQ121" s="260">
        <v>0</v>
      </c>
      <c r="AR121" s="260">
        <v>0</v>
      </c>
      <c r="AS121" s="260">
        <v>0</v>
      </c>
      <c r="AT121" s="260">
        <v>0</v>
      </c>
      <c r="AU121" s="260">
        <v>0</v>
      </c>
      <c r="AV121" s="260">
        <v>0</v>
      </c>
      <c r="AW121" s="260">
        <v>0</v>
      </c>
      <c r="AX121" s="260">
        <v>0</v>
      </c>
      <c r="AY121" s="260">
        <v>0</v>
      </c>
      <c r="AZ121" s="260">
        <v>0</v>
      </c>
      <c r="BA121" s="260">
        <v>0</v>
      </c>
      <c r="BB121" s="260">
        <v>0</v>
      </c>
      <c r="BC121" s="260">
        <v>0</v>
      </c>
      <c r="BD121" s="260">
        <v>0</v>
      </c>
      <c r="BE121" s="260">
        <v>0</v>
      </c>
      <c r="BF121" s="260">
        <v>0</v>
      </c>
      <c r="BG121" s="260">
        <v>0</v>
      </c>
      <c r="BH121" s="260">
        <v>0</v>
      </c>
      <c r="BI121" s="260">
        <v>0</v>
      </c>
      <c r="BJ121" s="260">
        <v>0</v>
      </c>
      <c r="BK121" s="260">
        <v>0</v>
      </c>
      <c r="BL121" s="260">
        <v>0</v>
      </c>
      <c r="BM121" s="260">
        <v>0</v>
      </c>
      <c r="BN121" s="260">
        <v>0</v>
      </c>
      <c r="BO121" s="260">
        <v>0</v>
      </c>
      <c r="BP121" s="260">
        <v>0</v>
      </c>
      <c r="BQ121" s="260">
        <v>0</v>
      </c>
      <c r="BR121" s="260">
        <v>0</v>
      </c>
      <c r="BS121" s="260">
        <v>0</v>
      </c>
      <c r="BT121" s="260">
        <v>0</v>
      </c>
      <c r="BU121" s="260">
        <v>0</v>
      </c>
      <c r="BV121" s="260">
        <v>0</v>
      </c>
      <c r="BW121" s="260">
        <v>0</v>
      </c>
      <c r="BX121" s="260">
        <v>0</v>
      </c>
      <c r="BY121" s="260">
        <v>0</v>
      </c>
      <c r="BZ121" s="260">
        <v>0</v>
      </c>
      <c r="CA121" s="260">
        <v>0</v>
      </c>
      <c r="CB121" s="260">
        <v>0</v>
      </c>
      <c r="CC121" s="260">
        <v>0</v>
      </c>
      <c r="CD121" s="260">
        <v>0</v>
      </c>
      <c r="CE121" s="260">
        <v>0</v>
      </c>
      <c r="CF121" s="260">
        <v>0</v>
      </c>
      <c r="CG121" s="260">
        <v>0</v>
      </c>
      <c r="CH121" s="260">
        <v>0</v>
      </c>
    </row>
    <row r="122" spans="1:86" x14ac:dyDescent="0.25">
      <c r="A122" s="170">
        <v>2</v>
      </c>
      <c r="B122" s="170">
        <v>11</v>
      </c>
      <c r="C122" s="259">
        <v>0</v>
      </c>
      <c r="D122" s="259">
        <v>0</v>
      </c>
      <c r="E122" s="259">
        <v>0</v>
      </c>
      <c r="F122" s="259">
        <v>0</v>
      </c>
      <c r="G122" s="259">
        <v>0</v>
      </c>
      <c r="H122" s="259">
        <v>0</v>
      </c>
      <c r="I122" s="260">
        <v>0</v>
      </c>
      <c r="J122" s="260">
        <v>0</v>
      </c>
      <c r="K122" s="260">
        <v>0</v>
      </c>
      <c r="L122" s="260">
        <v>0</v>
      </c>
      <c r="M122" s="260">
        <v>0</v>
      </c>
      <c r="N122" s="260">
        <v>0</v>
      </c>
      <c r="O122" s="260">
        <v>0</v>
      </c>
      <c r="P122" s="260">
        <v>0</v>
      </c>
      <c r="Q122" s="260">
        <v>0</v>
      </c>
      <c r="R122" s="260">
        <v>0</v>
      </c>
      <c r="S122" s="260">
        <v>0</v>
      </c>
      <c r="T122" s="260">
        <v>0</v>
      </c>
      <c r="U122" s="260">
        <v>0</v>
      </c>
      <c r="V122" s="260">
        <v>0</v>
      </c>
      <c r="W122" s="260">
        <v>0</v>
      </c>
      <c r="X122" s="260">
        <v>0</v>
      </c>
      <c r="Y122" s="260">
        <v>0</v>
      </c>
      <c r="Z122" s="260">
        <v>0</v>
      </c>
      <c r="AA122" s="260">
        <v>0</v>
      </c>
      <c r="AB122" s="260">
        <v>0</v>
      </c>
      <c r="AC122" s="260">
        <v>0</v>
      </c>
      <c r="AD122" s="260">
        <v>0</v>
      </c>
      <c r="AE122" s="260">
        <v>0</v>
      </c>
      <c r="AF122" s="260">
        <v>0</v>
      </c>
      <c r="AG122" s="260">
        <v>0</v>
      </c>
      <c r="AH122" s="260">
        <v>0</v>
      </c>
      <c r="AI122" s="260">
        <v>0</v>
      </c>
      <c r="AJ122" s="260">
        <v>0</v>
      </c>
      <c r="AK122" s="260">
        <v>0</v>
      </c>
      <c r="AL122" s="260">
        <v>0</v>
      </c>
      <c r="AM122" s="260">
        <v>0</v>
      </c>
      <c r="AN122" s="260">
        <v>0</v>
      </c>
      <c r="AO122" s="260">
        <v>0</v>
      </c>
      <c r="AP122" s="260">
        <v>0</v>
      </c>
      <c r="AQ122" s="260">
        <v>0</v>
      </c>
      <c r="AR122" s="260">
        <v>0</v>
      </c>
      <c r="AS122" s="260">
        <v>0</v>
      </c>
      <c r="AT122" s="260">
        <v>0</v>
      </c>
      <c r="AU122" s="260">
        <v>0</v>
      </c>
      <c r="AV122" s="260">
        <v>0</v>
      </c>
      <c r="AW122" s="260">
        <v>0</v>
      </c>
      <c r="AX122" s="260">
        <v>0</v>
      </c>
      <c r="AY122" s="260">
        <v>0</v>
      </c>
      <c r="AZ122" s="260">
        <v>0</v>
      </c>
      <c r="BA122" s="260">
        <v>0</v>
      </c>
      <c r="BB122" s="260">
        <v>0</v>
      </c>
      <c r="BC122" s="260">
        <v>0</v>
      </c>
      <c r="BD122" s="260">
        <v>0</v>
      </c>
      <c r="BE122" s="260">
        <v>0</v>
      </c>
      <c r="BF122" s="260">
        <v>0</v>
      </c>
      <c r="BG122" s="260">
        <v>0</v>
      </c>
      <c r="BH122" s="260">
        <v>0</v>
      </c>
      <c r="BI122" s="260">
        <v>0</v>
      </c>
      <c r="BJ122" s="260">
        <v>0</v>
      </c>
      <c r="BK122" s="260">
        <v>0</v>
      </c>
      <c r="BL122" s="260">
        <v>0</v>
      </c>
      <c r="BM122" s="260">
        <v>0</v>
      </c>
      <c r="BN122" s="260">
        <v>0</v>
      </c>
      <c r="BO122" s="260">
        <v>0</v>
      </c>
      <c r="BP122" s="260">
        <v>0</v>
      </c>
      <c r="BQ122" s="260">
        <v>0</v>
      </c>
      <c r="BR122" s="260">
        <v>0</v>
      </c>
      <c r="BS122" s="260">
        <v>0</v>
      </c>
      <c r="BT122" s="260">
        <v>0</v>
      </c>
      <c r="BU122" s="260">
        <v>0</v>
      </c>
      <c r="BV122" s="260">
        <v>0</v>
      </c>
      <c r="BW122" s="260">
        <v>0</v>
      </c>
      <c r="BX122" s="260">
        <v>0</v>
      </c>
      <c r="BY122" s="260">
        <v>0</v>
      </c>
      <c r="BZ122" s="260">
        <v>0</v>
      </c>
      <c r="CA122" s="260">
        <v>0</v>
      </c>
      <c r="CB122" s="260">
        <v>0</v>
      </c>
      <c r="CC122" s="260">
        <v>0</v>
      </c>
      <c r="CD122" s="260">
        <v>0</v>
      </c>
      <c r="CE122" s="260">
        <v>0</v>
      </c>
      <c r="CF122" s="260">
        <v>0</v>
      </c>
      <c r="CG122" s="260">
        <v>0</v>
      </c>
      <c r="CH122" s="260">
        <v>0</v>
      </c>
    </row>
    <row r="123" spans="1:86" x14ac:dyDescent="0.25">
      <c r="A123" s="170">
        <v>2</v>
      </c>
      <c r="B123" s="170">
        <v>12</v>
      </c>
      <c r="C123" s="259">
        <v>0</v>
      </c>
      <c r="D123" s="259">
        <v>0</v>
      </c>
      <c r="E123" s="259">
        <v>0</v>
      </c>
      <c r="F123" s="259">
        <v>0</v>
      </c>
      <c r="G123" s="259">
        <v>0</v>
      </c>
      <c r="H123" s="259">
        <v>0</v>
      </c>
      <c r="I123" s="260">
        <v>0</v>
      </c>
      <c r="J123" s="260">
        <v>0</v>
      </c>
      <c r="K123" s="260">
        <v>0</v>
      </c>
      <c r="L123" s="260">
        <v>0</v>
      </c>
      <c r="M123" s="260">
        <v>0</v>
      </c>
      <c r="N123" s="260">
        <v>0</v>
      </c>
      <c r="O123" s="260">
        <v>0</v>
      </c>
      <c r="P123" s="260">
        <v>0</v>
      </c>
      <c r="Q123" s="260">
        <v>0</v>
      </c>
      <c r="R123" s="260">
        <v>0</v>
      </c>
      <c r="S123" s="260">
        <v>0</v>
      </c>
      <c r="T123" s="260">
        <v>0</v>
      </c>
      <c r="U123" s="260">
        <v>0</v>
      </c>
      <c r="V123" s="260">
        <v>0</v>
      </c>
      <c r="W123" s="260">
        <v>0</v>
      </c>
      <c r="X123" s="260">
        <v>0</v>
      </c>
      <c r="Y123" s="260">
        <v>0</v>
      </c>
      <c r="Z123" s="260">
        <v>0</v>
      </c>
      <c r="AA123" s="260">
        <v>0</v>
      </c>
      <c r="AB123" s="260">
        <v>0</v>
      </c>
      <c r="AC123" s="260">
        <v>0</v>
      </c>
      <c r="AD123" s="260">
        <v>0</v>
      </c>
      <c r="AE123" s="260">
        <v>0</v>
      </c>
      <c r="AF123" s="260">
        <v>0</v>
      </c>
      <c r="AG123" s="260">
        <v>0</v>
      </c>
      <c r="AH123" s="260">
        <v>0</v>
      </c>
      <c r="AI123" s="260">
        <v>0</v>
      </c>
      <c r="AJ123" s="260">
        <v>0</v>
      </c>
      <c r="AK123" s="260">
        <v>0</v>
      </c>
      <c r="AL123" s="260">
        <v>0</v>
      </c>
      <c r="AM123" s="260">
        <v>0</v>
      </c>
      <c r="AN123" s="260">
        <v>0</v>
      </c>
      <c r="AO123" s="260">
        <v>0</v>
      </c>
      <c r="AP123" s="260">
        <v>0</v>
      </c>
      <c r="AQ123" s="260">
        <v>0</v>
      </c>
      <c r="AR123" s="260">
        <v>0</v>
      </c>
      <c r="AS123" s="260">
        <v>0</v>
      </c>
      <c r="AT123" s="260">
        <v>0</v>
      </c>
      <c r="AU123" s="260">
        <v>0</v>
      </c>
      <c r="AV123" s="260">
        <v>0</v>
      </c>
      <c r="AW123" s="260">
        <v>0</v>
      </c>
      <c r="AX123" s="260">
        <v>0</v>
      </c>
      <c r="AY123" s="260">
        <v>0</v>
      </c>
      <c r="AZ123" s="260">
        <v>0</v>
      </c>
      <c r="BA123" s="260">
        <v>0</v>
      </c>
      <c r="BB123" s="260">
        <v>0</v>
      </c>
      <c r="BC123" s="260">
        <v>0</v>
      </c>
      <c r="BD123" s="260">
        <v>0</v>
      </c>
      <c r="BE123" s="260">
        <v>0</v>
      </c>
      <c r="BF123" s="260">
        <v>0</v>
      </c>
      <c r="BG123" s="260">
        <v>0</v>
      </c>
      <c r="BH123" s="260">
        <v>0</v>
      </c>
      <c r="BI123" s="260">
        <v>0</v>
      </c>
      <c r="BJ123" s="260">
        <v>0</v>
      </c>
      <c r="BK123" s="260">
        <v>0</v>
      </c>
      <c r="BL123" s="260">
        <v>0</v>
      </c>
      <c r="BM123" s="260">
        <v>0</v>
      </c>
      <c r="BN123" s="260">
        <v>0</v>
      </c>
      <c r="BO123" s="260">
        <v>0</v>
      </c>
      <c r="BP123" s="260">
        <v>0</v>
      </c>
      <c r="BQ123" s="260">
        <v>0</v>
      </c>
      <c r="BR123" s="260">
        <v>0</v>
      </c>
      <c r="BS123" s="260">
        <v>0</v>
      </c>
      <c r="BT123" s="260">
        <v>0</v>
      </c>
      <c r="BU123" s="260">
        <v>0</v>
      </c>
      <c r="BV123" s="260">
        <v>0</v>
      </c>
      <c r="BW123" s="260">
        <v>0</v>
      </c>
      <c r="BX123" s="260">
        <v>0</v>
      </c>
      <c r="BY123" s="260">
        <v>0</v>
      </c>
      <c r="BZ123" s="260">
        <v>0</v>
      </c>
      <c r="CA123" s="260">
        <v>0</v>
      </c>
      <c r="CB123" s="260">
        <v>0</v>
      </c>
      <c r="CC123" s="260">
        <v>0</v>
      </c>
      <c r="CD123" s="260">
        <v>0</v>
      </c>
      <c r="CE123" s="260">
        <v>0</v>
      </c>
      <c r="CF123" s="260">
        <v>0</v>
      </c>
      <c r="CG123" s="260">
        <v>0</v>
      </c>
      <c r="CH123" s="260">
        <v>0</v>
      </c>
    </row>
    <row r="124" spans="1:86" x14ac:dyDescent="0.25">
      <c r="A124" s="170">
        <v>2</v>
      </c>
      <c r="B124" s="170">
        <v>13</v>
      </c>
      <c r="C124" s="259">
        <v>0</v>
      </c>
      <c r="D124" s="259">
        <v>0</v>
      </c>
      <c r="E124" s="259">
        <v>0</v>
      </c>
      <c r="F124" s="259">
        <v>0</v>
      </c>
      <c r="G124" s="259">
        <v>0</v>
      </c>
      <c r="H124" s="259">
        <v>0</v>
      </c>
      <c r="I124" s="260">
        <v>0</v>
      </c>
      <c r="J124" s="260">
        <v>0</v>
      </c>
      <c r="K124" s="260">
        <v>0</v>
      </c>
      <c r="L124" s="260">
        <v>0</v>
      </c>
      <c r="M124" s="260">
        <v>0</v>
      </c>
      <c r="N124" s="260">
        <v>0</v>
      </c>
      <c r="O124" s="260">
        <v>0</v>
      </c>
      <c r="P124" s="260">
        <v>0</v>
      </c>
      <c r="Q124" s="260">
        <v>0</v>
      </c>
      <c r="R124" s="260">
        <v>0</v>
      </c>
      <c r="S124" s="260">
        <v>0</v>
      </c>
      <c r="T124" s="260">
        <v>0</v>
      </c>
      <c r="U124" s="260">
        <v>0</v>
      </c>
      <c r="V124" s="260">
        <v>0</v>
      </c>
      <c r="W124" s="260">
        <v>0</v>
      </c>
      <c r="X124" s="260">
        <v>0</v>
      </c>
      <c r="Y124" s="260">
        <v>0</v>
      </c>
      <c r="Z124" s="260">
        <v>0</v>
      </c>
      <c r="AA124" s="260">
        <v>0</v>
      </c>
      <c r="AB124" s="260">
        <v>0</v>
      </c>
      <c r="AC124" s="260">
        <v>0</v>
      </c>
      <c r="AD124" s="260">
        <v>0</v>
      </c>
      <c r="AE124" s="260">
        <v>0</v>
      </c>
      <c r="AF124" s="260">
        <v>0</v>
      </c>
      <c r="AG124" s="260">
        <v>0</v>
      </c>
      <c r="AH124" s="260">
        <v>0</v>
      </c>
      <c r="AI124" s="260">
        <v>0</v>
      </c>
      <c r="AJ124" s="260">
        <v>0</v>
      </c>
      <c r="AK124" s="260">
        <v>0</v>
      </c>
      <c r="AL124" s="260">
        <v>0</v>
      </c>
      <c r="AM124" s="260">
        <v>0</v>
      </c>
      <c r="AN124" s="260">
        <v>0</v>
      </c>
      <c r="AO124" s="260">
        <v>0</v>
      </c>
      <c r="AP124" s="260">
        <v>0</v>
      </c>
      <c r="AQ124" s="260">
        <v>0</v>
      </c>
      <c r="AR124" s="260">
        <v>0</v>
      </c>
      <c r="AS124" s="260">
        <v>0</v>
      </c>
      <c r="AT124" s="260">
        <v>0</v>
      </c>
      <c r="AU124" s="260">
        <v>0</v>
      </c>
      <c r="AV124" s="260">
        <v>0</v>
      </c>
      <c r="AW124" s="260">
        <v>0</v>
      </c>
      <c r="AX124" s="260">
        <v>0</v>
      </c>
      <c r="AY124" s="260">
        <v>0</v>
      </c>
      <c r="AZ124" s="260">
        <v>0</v>
      </c>
      <c r="BA124" s="260">
        <v>0</v>
      </c>
      <c r="BB124" s="260">
        <v>0</v>
      </c>
      <c r="BC124" s="260">
        <v>0</v>
      </c>
      <c r="BD124" s="260">
        <v>0</v>
      </c>
      <c r="BE124" s="260">
        <v>0</v>
      </c>
      <c r="BF124" s="260">
        <v>0</v>
      </c>
      <c r="BG124" s="260">
        <v>0</v>
      </c>
      <c r="BH124" s="260">
        <v>0</v>
      </c>
      <c r="BI124" s="260">
        <v>0</v>
      </c>
      <c r="BJ124" s="260">
        <v>0</v>
      </c>
      <c r="BK124" s="260">
        <v>0</v>
      </c>
      <c r="BL124" s="260">
        <v>0</v>
      </c>
      <c r="BM124" s="260">
        <v>0</v>
      </c>
      <c r="BN124" s="260">
        <v>0</v>
      </c>
      <c r="BO124" s="260">
        <v>0</v>
      </c>
      <c r="BP124" s="260">
        <v>0</v>
      </c>
      <c r="BQ124" s="260">
        <v>0</v>
      </c>
      <c r="BR124" s="260">
        <v>0</v>
      </c>
      <c r="BS124" s="260">
        <v>0</v>
      </c>
      <c r="BT124" s="260">
        <v>0</v>
      </c>
      <c r="BU124" s="260">
        <v>0</v>
      </c>
      <c r="BV124" s="260">
        <v>0</v>
      </c>
      <c r="BW124" s="260">
        <v>0</v>
      </c>
      <c r="BX124" s="260">
        <v>0</v>
      </c>
      <c r="BY124" s="260">
        <v>0</v>
      </c>
      <c r="BZ124" s="260">
        <v>0</v>
      </c>
      <c r="CA124" s="260">
        <v>0</v>
      </c>
      <c r="CB124" s="260">
        <v>0</v>
      </c>
      <c r="CC124" s="260">
        <v>0</v>
      </c>
      <c r="CD124" s="260">
        <v>0</v>
      </c>
      <c r="CE124" s="260">
        <v>0</v>
      </c>
      <c r="CF124" s="260">
        <v>0</v>
      </c>
      <c r="CG124" s="260">
        <v>0</v>
      </c>
      <c r="CH124" s="260">
        <v>0</v>
      </c>
    </row>
    <row r="125" spans="1:86" x14ac:dyDescent="0.25">
      <c r="A125" s="170">
        <v>2</v>
      </c>
      <c r="B125" s="170">
        <v>14</v>
      </c>
      <c r="C125" s="259">
        <v>0</v>
      </c>
      <c r="D125" s="259">
        <v>0</v>
      </c>
      <c r="E125" s="259">
        <v>0</v>
      </c>
      <c r="F125" s="259">
        <v>0</v>
      </c>
      <c r="G125" s="259">
        <v>0</v>
      </c>
      <c r="H125" s="259">
        <v>0</v>
      </c>
      <c r="I125" s="260">
        <v>0</v>
      </c>
      <c r="J125" s="260">
        <v>0</v>
      </c>
      <c r="K125" s="260">
        <v>0</v>
      </c>
      <c r="L125" s="260">
        <v>0</v>
      </c>
      <c r="M125" s="260">
        <v>0</v>
      </c>
      <c r="N125" s="260">
        <v>0</v>
      </c>
      <c r="O125" s="260">
        <v>0</v>
      </c>
      <c r="P125" s="260">
        <v>0</v>
      </c>
      <c r="Q125" s="260">
        <v>0</v>
      </c>
      <c r="R125" s="260">
        <v>0</v>
      </c>
      <c r="S125" s="260">
        <v>0</v>
      </c>
      <c r="T125" s="260">
        <v>0</v>
      </c>
      <c r="U125" s="260">
        <v>0</v>
      </c>
      <c r="V125" s="260">
        <v>0</v>
      </c>
      <c r="W125" s="260">
        <v>0</v>
      </c>
      <c r="X125" s="260">
        <v>0</v>
      </c>
      <c r="Y125" s="260">
        <v>0</v>
      </c>
      <c r="Z125" s="260">
        <v>0</v>
      </c>
      <c r="AA125" s="260">
        <v>0</v>
      </c>
      <c r="AB125" s="260">
        <v>0</v>
      </c>
      <c r="AC125" s="260">
        <v>0</v>
      </c>
      <c r="AD125" s="260">
        <v>0</v>
      </c>
      <c r="AE125" s="260">
        <v>0</v>
      </c>
      <c r="AF125" s="260">
        <v>0</v>
      </c>
      <c r="AG125" s="260">
        <v>0</v>
      </c>
      <c r="AH125" s="260">
        <v>0</v>
      </c>
      <c r="AI125" s="260">
        <v>0</v>
      </c>
      <c r="AJ125" s="260">
        <v>0</v>
      </c>
      <c r="AK125" s="260">
        <v>0</v>
      </c>
      <c r="AL125" s="260">
        <v>0</v>
      </c>
      <c r="AM125" s="260">
        <v>0</v>
      </c>
      <c r="AN125" s="260">
        <v>0</v>
      </c>
      <c r="AO125" s="260">
        <v>0</v>
      </c>
      <c r="AP125" s="260">
        <v>0</v>
      </c>
      <c r="AQ125" s="260">
        <v>0</v>
      </c>
      <c r="AR125" s="260">
        <v>0</v>
      </c>
      <c r="AS125" s="260">
        <v>0</v>
      </c>
      <c r="AT125" s="260">
        <v>0</v>
      </c>
      <c r="AU125" s="260">
        <v>0</v>
      </c>
      <c r="AV125" s="260">
        <v>0</v>
      </c>
      <c r="AW125" s="260">
        <v>0</v>
      </c>
      <c r="AX125" s="260">
        <v>0</v>
      </c>
      <c r="AY125" s="260">
        <v>0</v>
      </c>
      <c r="AZ125" s="260">
        <v>0</v>
      </c>
      <c r="BA125" s="260">
        <v>0</v>
      </c>
      <c r="BB125" s="260">
        <v>0</v>
      </c>
      <c r="BC125" s="260">
        <v>0</v>
      </c>
      <c r="BD125" s="260">
        <v>0</v>
      </c>
      <c r="BE125" s="260">
        <v>0</v>
      </c>
      <c r="BF125" s="260">
        <v>0</v>
      </c>
      <c r="BG125" s="260">
        <v>0</v>
      </c>
      <c r="BH125" s="260">
        <v>0</v>
      </c>
      <c r="BI125" s="260">
        <v>0</v>
      </c>
      <c r="BJ125" s="260">
        <v>0</v>
      </c>
      <c r="BK125" s="260">
        <v>0</v>
      </c>
      <c r="BL125" s="260">
        <v>0</v>
      </c>
      <c r="BM125" s="260">
        <v>0</v>
      </c>
      <c r="BN125" s="260">
        <v>0</v>
      </c>
      <c r="BO125" s="260">
        <v>0</v>
      </c>
      <c r="BP125" s="260">
        <v>0</v>
      </c>
      <c r="BQ125" s="260">
        <v>0</v>
      </c>
      <c r="BR125" s="260">
        <v>0</v>
      </c>
      <c r="BS125" s="260">
        <v>0</v>
      </c>
      <c r="BT125" s="260">
        <v>0</v>
      </c>
      <c r="BU125" s="260">
        <v>0</v>
      </c>
      <c r="BV125" s="260">
        <v>0</v>
      </c>
      <c r="BW125" s="260">
        <v>0</v>
      </c>
      <c r="BX125" s="260">
        <v>0</v>
      </c>
      <c r="BY125" s="260">
        <v>0</v>
      </c>
      <c r="BZ125" s="260">
        <v>0</v>
      </c>
      <c r="CA125" s="260">
        <v>0</v>
      </c>
      <c r="CB125" s="260">
        <v>0</v>
      </c>
      <c r="CC125" s="260">
        <v>0</v>
      </c>
      <c r="CD125" s="260">
        <v>0</v>
      </c>
      <c r="CE125" s="260">
        <v>0</v>
      </c>
      <c r="CF125" s="260">
        <v>0</v>
      </c>
      <c r="CG125" s="260">
        <v>0</v>
      </c>
      <c r="CH125" s="260">
        <v>0</v>
      </c>
    </row>
    <row r="126" spans="1:86" x14ac:dyDescent="0.25">
      <c r="A126" s="170">
        <v>2</v>
      </c>
      <c r="B126" s="170">
        <v>15</v>
      </c>
      <c r="C126" s="259">
        <v>0</v>
      </c>
      <c r="D126" s="259">
        <v>0</v>
      </c>
      <c r="E126" s="259">
        <v>0</v>
      </c>
      <c r="F126" s="259">
        <v>0</v>
      </c>
      <c r="G126" s="259">
        <v>0</v>
      </c>
      <c r="H126" s="259">
        <v>0</v>
      </c>
      <c r="I126" s="260">
        <v>0</v>
      </c>
      <c r="J126" s="260">
        <v>0</v>
      </c>
      <c r="K126" s="260">
        <v>0</v>
      </c>
      <c r="L126" s="260">
        <v>0</v>
      </c>
      <c r="M126" s="260">
        <v>0</v>
      </c>
      <c r="N126" s="260">
        <v>0</v>
      </c>
      <c r="O126" s="260">
        <v>0</v>
      </c>
      <c r="P126" s="260">
        <v>0</v>
      </c>
      <c r="Q126" s="260">
        <v>0</v>
      </c>
      <c r="R126" s="260">
        <v>0</v>
      </c>
      <c r="S126" s="260">
        <v>0</v>
      </c>
      <c r="T126" s="260">
        <v>0</v>
      </c>
      <c r="U126" s="260">
        <v>0</v>
      </c>
      <c r="V126" s="260">
        <v>0</v>
      </c>
      <c r="W126" s="260">
        <v>0</v>
      </c>
      <c r="X126" s="260">
        <v>0</v>
      </c>
      <c r="Y126" s="260">
        <v>0</v>
      </c>
      <c r="Z126" s="260">
        <v>0</v>
      </c>
      <c r="AA126" s="260">
        <v>0</v>
      </c>
      <c r="AB126" s="260">
        <v>0</v>
      </c>
      <c r="AC126" s="260">
        <v>0</v>
      </c>
      <c r="AD126" s="260">
        <v>0</v>
      </c>
      <c r="AE126" s="260">
        <v>0</v>
      </c>
      <c r="AF126" s="260">
        <v>0</v>
      </c>
      <c r="AG126" s="260">
        <v>0</v>
      </c>
      <c r="AH126" s="260">
        <v>0</v>
      </c>
      <c r="AI126" s="260">
        <v>0</v>
      </c>
      <c r="AJ126" s="260">
        <v>0</v>
      </c>
      <c r="AK126" s="260">
        <v>0</v>
      </c>
      <c r="AL126" s="260">
        <v>0</v>
      </c>
      <c r="AM126" s="260">
        <v>0</v>
      </c>
      <c r="AN126" s="260">
        <v>0</v>
      </c>
      <c r="AO126" s="260">
        <v>0</v>
      </c>
      <c r="AP126" s="260">
        <v>0</v>
      </c>
      <c r="AQ126" s="260">
        <v>0</v>
      </c>
      <c r="AR126" s="260">
        <v>0</v>
      </c>
      <c r="AS126" s="260">
        <v>0</v>
      </c>
      <c r="AT126" s="260">
        <v>0</v>
      </c>
      <c r="AU126" s="260">
        <v>0</v>
      </c>
      <c r="AV126" s="260">
        <v>0</v>
      </c>
      <c r="AW126" s="260">
        <v>0</v>
      </c>
      <c r="AX126" s="260">
        <v>0</v>
      </c>
      <c r="AY126" s="260">
        <v>0</v>
      </c>
      <c r="AZ126" s="260">
        <v>0</v>
      </c>
      <c r="BA126" s="260">
        <v>0</v>
      </c>
      <c r="BB126" s="260">
        <v>0</v>
      </c>
      <c r="BC126" s="260">
        <v>0</v>
      </c>
      <c r="BD126" s="260">
        <v>0</v>
      </c>
      <c r="BE126" s="260">
        <v>0</v>
      </c>
      <c r="BF126" s="260">
        <v>0</v>
      </c>
      <c r="BG126" s="260">
        <v>0</v>
      </c>
      <c r="BH126" s="260">
        <v>0</v>
      </c>
      <c r="BI126" s="260">
        <v>0</v>
      </c>
      <c r="BJ126" s="260">
        <v>0</v>
      </c>
      <c r="BK126" s="260">
        <v>0</v>
      </c>
      <c r="BL126" s="260">
        <v>0</v>
      </c>
      <c r="BM126" s="260">
        <v>0</v>
      </c>
      <c r="BN126" s="260">
        <v>0</v>
      </c>
      <c r="BO126" s="260">
        <v>0</v>
      </c>
      <c r="BP126" s="260">
        <v>0</v>
      </c>
      <c r="BQ126" s="260">
        <v>0</v>
      </c>
      <c r="BR126" s="260">
        <v>0</v>
      </c>
      <c r="BS126" s="260">
        <v>0</v>
      </c>
      <c r="BT126" s="260">
        <v>0</v>
      </c>
      <c r="BU126" s="260">
        <v>0</v>
      </c>
      <c r="BV126" s="260">
        <v>0</v>
      </c>
      <c r="BW126" s="260">
        <v>0</v>
      </c>
      <c r="BX126" s="260">
        <v>0</v>
      </c>
      <c r="BY126" s="260">
        <v>0</v>
      </c>
      <c r="BZ126" s="260">
        <v>0</v>
      </c>
      <c r="CA126" s="260">
        <v>0</v>
      </c>
      <c r="CB126" s="260">
        <v>0</v>
      </c>
      <c r="CC126" s="260">
        <v>0</v>
      </c>
      <c r="CD126" s="260">
        <v>0</v>
      </c>
      <c r="CE126" s="260">
        <v>0</v>
      </c>
      <c r="CF126" s="260">
        <v>0</v>
      </c>
      <c r="CG126" s="260">
        <v>0</v>
      </c>
      <c r="CH126" s="260">
        <v>0</v>
      </c>
    </row>
    <row r="127" spans="1:86" x14ac:dyDescent="0.25">
      <c r="A127" s="170">
        <v>2</v>
      </c>
      <c r="B127" s="170">
        <v>16</v>
      </c>
      <c r="C127" s="259">
        <v>0</v>
      </c>
      <c r="D127" s="259">
        <v>0</v>
      </c>
      <c r="E127" s="259">
        <v>0</v>
      </c>
      <c r="F127" s="259">
        <v>0</v>
      </c>
      <c r="G127" s="259">
        <v>0</v>
      </c>
      <c r="H127" s="259">
        <v>0</v>
      </c>
      <c r="I127" s="260">
        <v>0</v>
      </c>
      <c r="J127" s="260">
        <v>0</v>
      </c>
      <c r="K127" s="260">
        <v>0</v>
      </c>
      <c r="L127" s="260">
        <v>0</v>
      </c>
      <c r="M127" s="260">
        <v>0</v>
      </c>
      <c r="N127" s="260">
        <v>0</v>
      </c>
      <c r="O127" s="260">
        <v>0</v>
      </c>
      <c r="P127" s="260">
        <v>0</v>
      </c>
      <c r="Q127" s="260">
        <v>0</v>
      </c>
      <c r="R127" s="260">
        <v>0</v>
      </c>
      <c r="S127" s="260">
        <v>0</v>
      </c>
      <c r="T127" s="260">
        <v>0</v>
      </c>
      <c r="U127" s="260">
        <v>0</v>
      </c>
      <c r="V127" s="260">
        <v>0</v>
      </c>
      <c r="W127" s="260">
        <v>0</v>
      </c>
      <c r="X127" s="260">
        <v>0</v>
      </c>
      <c r="Y127" s="260">
        <v>0</v>
      </c>
      <c r="Z127" s="260">
        <v>0</v>
      </c>
      <c r="AA127" s="260">
        <v>0</v>
      </c>
      <c r="AB127" s="260">
        <v>0</v>
      </c>
      <c r="AC127" s="260">
        <v>0</v>
      </c>
      <c r="AD127" s="260">
        <v>0</v>
      </c>
      <c r="AE127" s="260">
        <v>0</v>
      </c>
      <c r="AF127" s="260">
        <v>0</v>
      </c>
      <c r="AG127" s="260">
        <v>0</v>
      </c>
      <c r="AH127" s="260">
        <v>0</v>
      </c>
      <c r="AI127" s="260">
        <v>0</v>
      </c>
      <c r="AJ127" s="260">
        <v>0</v>
      </c>
      <c r="AK127" s="260">
        <v>0</v>
      </c>
      <c r="AL127" s="260">
        <v>0</v>
      </c>
      <c r="AM127" s="260">
        <v>0</v>
      </c>
      <c r="AN127" s="260">
        <v>0</v>
      </c>
      <c r="AO127" s="260">
        <v>0</v>
      </c>
      <c r="AP127" s="260">
        <v>0</v>
      </c>
      <c r="AQ127" s="260">
        <v>0</v>
      </c>
      <c r="AR127" s="260">
        <v>0</v>
      </c>
      <c r="AS127" s="260">
        <v>0</v>
      </c>
      <c r="AT127" s="260">
        <v>0</v>
      </c>
      <c r="AU127" s="260">
        <v>0</v>
      </c>
      <c r="AV127" s="260">
        <v>0</v>
      </c>
      <c r="AW127" s="260">
        <v>0</v>
      </c>
      <c r="AX127" s="260">
        <v>0</v>
      </c>
      <c r="AY127" s="260">
        <v>0</v>
      </c>
      <c r="AZ127" s="260">
        <v>0</v>
      </c>
      <c r="BA127" s="260">
        <v>0</v>
      </c>
      <c r="BB127" s="260">
        <v>0</v>
      </c>
      <c r="BC127" s="260">
        <v>0</v>
      </c>
      <c r="BD127" s="260">
        <v>0</v>
      </c>
      <c r="BE127" s="260">
        <v>0</v>
      </c>
      <c r="BF127" s="260">
        <v>0</v>
      </c>
      <c r="BG127" s="260">
        <v>0</v>
      </c>
      <c r="BH127" s="260">
        <v>0</v>
      </c>
      <c r="BI127" s="260">
        <v>0</v>
      </c>
      <c r="BJ127" s="260">
        <v>0</v>
      </c>
      <c r="BK127" s="260">
        <v>0</v>
      </c>
      <c r="BL127" s="260">
        <v>0</v>
      </c>
      <c r="BM127" s="260">
        <v>0</v>
      </c>
      <c r="BN127" s="260">
        <v>0</v>
      </c>
      <c r="BO127" s="260">
        <v>0</v>
      </c>
      <c r="BP127" s="260">
        <v>0</v>
      </c>
      <c r="BQ127" s="260">
        <v>0</v>
      </c>
      <c r="BR127" s="260">
        <v>0</v>
      </c>
      <c r="BS127" s="260">
        <v>0</v>
      </c>
      <c r="BT127" s="260">
        <v>0</v>
      </c>
      <c r="BU127" s="260">
        <v>0</v>
      </c>
      <c r="BV127" s="260">
        <v>0</v>
      </c>
      <c r="BW127" s="260">
        <v>0</v>
      </c>
      <c r="BX127" s="260">
        <v>0</v>
      </c>
      <c r="BY127" s="260">
        <v>0</v>
      </c>
      <c r="BZ127" s="260">
        <v>0</v>
      </c>
      <c r="CA127" s="260">
        <v>0</v>
      </c>
      <c r="CB127" s="260">
        <v>0</v>
      </c>
      <c r="CC127" s="260">
        <v>0</v>
      </c>
      <c r="CD127" s="260">
        <v>0</v>
      </c>
      <c r="CE127" s="260">
        <v>0</v>
      </c>
      <c r="CF127" s="260">
        <v>0</v>
      </c>
      <c r="CG127" s="260">
        <v>0</v>
      </c>
      <c r="CH127" s="260">
        <v>0</v>
      </c>
    </row>
    <row r="128" spans="1:86" x14ac:dyDescent="0.25">
      <c r="A128" s="170">
        <v>2</v>
      </c>
      <c r="B128" s="170">
        <v>17</v>
      </c>
      <c r="C128" s="259">
        <v>0</v>
      </c>
      <c r="D128" s="259">
        <v>0</v>
      </c>
      <c r="E128" s="259">
        <v>0</v>
      </c>
      <c r="F128" s="259">
        <v>0</v>
      </c>
      <c r="G128" s="259">
        <v>0</v>
      </c>
      <c r="H128" s="259">
        <v>0</v>
      </c>
      <c r="I128" s="260">
        <v>0</v>
      </c>
      <c r="J128" s="260">
        <v>0</v>
      </c>
      <c r="K128" s="260">
        <v>0</v>
      </c>
      <c r="L128" s="260">
        <v>0</v>
      </c>
      <c r="M128" s="260">
        <v>0</v>
      </c>
      <c r="N128" s="260">
        <v>0</v>
      </c>
      <c r="O128" s="260">
        <v>0</v>
      </c>
      <c r="P128" s="260">
        <v>0</v>
      </c>
      <c r="Q128" s="260">
        <v>0</v>
      </c>
      <c r="R128" s="260">
        <v>0</v>
      </c>
      <c r="S128" s="260">
        <v>0</v>
      </c>
      <c r="T128" s="260">
        <v>0</v>
      </c>
      <c r="U128" s="260">
        <v>0</v>
      </c>
      <c r="V128" s="260">
        <v>0</v>
      </c>
      <c r="W128" s="260">
        <v>0</v>
      </c>
      <c r="X128" s="260">
        <v>0</v>
      </c>
      <c r="Y128" s="260">
        <v>0</v>
      </c>
      <c r="Z128" s="260">
        <v>0</v>
      </c>
      <c r="AA128" s="260">
        <v>0</v>
      </c>
      <c r="AB128" s="260">
        <v>0</v>
      </c>
      <c r="AC128" s="260">
        <v>0</v>
      </c>
      <c r="AD128" s="260">
        <v>0</v>
      </c>
      <c r="AE128" s="260">
        <v>0</v>
      </c>
      <c r="AF128" s="260">
        <v>0</v>
      </c>
      <c r="AG128" s="260">
        <v>0</v>
      </c>
      <c r="AH128" s="260">
        <v>0</v>
      </c>
      <c r="AI128" s="260">
        <v>0</v>
      </c>
      <c r="AJ128" s="260">
        <v>0</v>
      </c>
      <c r="AK128" s="260">
        <v>0</v>
      </c>
      <c r="AL128" s="260">
        <v>0</v>
      </c>
      <c r="AM128" s="260">
        <v>0</v>
      </c>
      <c r="AN128" s="260">
        <v>0</v>
      </c>
      <c r="AO128" s="260">
        <v>0</v>
      </c>
      <c r="AP128" s="260">
        <v>0</v>
      </c>
      <c r="AQ128" s="260">
        <v>0</v>
      </c>
      <c r="AR128" s="260">
        <v>0</v>
      </c>
      <c r="AS128" s="260">
        <v>0</v>
      </c>
      <c r="AT128" s="260">
        <v>0</v>
      </c>
      <c r="AU128" s="260">
        <v>0</v>
      </c>
      <c r="AV128" s="260">
        <v>0</v>
      </c>
      <c r="AW128" s="260">
        <v>0</v>
      </c>
      <c r="AX128" s="260">
        <v>0</v>
      </c>
      <c r="AY128" s="260">
        <v>0</v>
      </c>
      <c r="AZ128" s="260">
        <v>0</v>
      </c>
      <c r="BA128" s="260">
        <v>0</v>
      </c>
      <c r="BB128" s="260">
        <v>0</v>
      </c>
      <c r="BC128" s="260">
        <v>0</v>
      </c>
      <c r="BD128" s="260">
        <v>0</v>
      </c>
      <c r="BE128" s="260">
        <v>0</v>
      </c>
      <c r="BF128" s="260">
        <v>0</v>
      </c>
      <c r="BG128" s="260">
        <v>0</v>
      </c>
      <c r="BH128" s="260">
        <v>0</v>
      </c>
      <c r="BI128" s="260">
        <v>0</v>
      </c>
      <c r="BJ128" s="260">
        <v>0</v>
      </c>
      <c r="BK128" s="260">
        <v>0</v>
      </c>
      <c r="BL128" s="260">
        <v>0</v>
      </c>
      <c r="BM128" s="260">
        <v>0</v>
      </c>
      <c r="BN128" s="260">
        <v>0</v>
      </c>
      <c r="BO128" s="260">
        <v>0</v>
      </c>
      <c r="BP128" s="260">
        <v>0</v>
      </c>
      <c r="BQ128" s="260">
        <v>0</v>
      </c>
      <c r="BR128" s="260">
        <v>0</v>
      </c>
      <c r="BS128" s="260">
        <v>0</v>
      </c>
      <c r="BT128" s="260">
        <v>0</v>
      </c>
      <c r="BU128" s="260">
        <v>0</v>
      </c>
      <c r="BV128" s="260">
        <v>0</v>
      </c>
      <c r="BW128" s="260">
        <v>0</v>
      </c>
      <c r="BX128" s="260">
        <v>0</v>
      </c>
      <c r="BY128" s="260">
        <v>0</v>
      </c>
      <c r="BZ128" s="260">
        <v>0</v>
      </c>
      <c r="CA128" s="260">
        <v>0</v>
      </c>
      <c r="CB128" s="260">
        <v>0</v>
      </c>
      <c r="CC128" s="260">
        <v>0</v>
      </c>
      <c r="CD128" s="260">
        <v>0</v>
      </c>
      <c r="CE128" s="260">
        <v>0</v>
      </c>
      <c r="CF128" s="260">
        <v>0</v>
      </c>
      <c r="CG128" s="260">
        <v>0</v>
      </c>
      <c r="CH128" s="260">
        <v>0</v>
      </c>
    </row>
    <row r="129" spans="1:86" x14ac:dyDescent="0.25">
      <c r="A129" s="170">
        <v>2</v>
      </c>
      <c r="B129" s="170">
        <v>18</v>
      </c>
      <c r="C129" s="259">
        <v>0</v>
      </c>
      <c r="D129" s="259">
        <v>0</v>
      </c>
      <c r="E129" s="259">
        <v>0</v>
      </c>
      <c r="F129" s="259">
        <v>0</v>
      </c>
      <c r="G129" s="259">
        <v>0</v>
      </c>
      <c r="H129" s="259">
        <v>0</v>
      </c>
      <c r="I129" s="260">
        <v>0</v>
      </c>
      <c r="J129" s="260">
        <v>0</v>
      </c>
      <c r="K129" s="260">
        <v>0</v>
      </c>
      <c r="L129" s="260">
        <v>0</v>
      </c>
      <c r="M129" s="260">
        <v>0</v>
      </c>
      <c r="N129" s="260">
        <v>0</v>
      </c>
      <c r="O129" s="260">
        <v>0</v>
      </c>
      <c r="P129" s="260">
        <v>0</v>
      </c>
      <c r="Q129" s="260">
        <v>0</v>
      </c>
      <c r="R129" s="260">
        <v>0</v>
      </c>
      <c r="S129" s="260">
        <v>0</v>
      </c>
      <c r="T129" s="260">
        <v>0</v>
      </c>
      <c r="U129" s="260">
        <v>0</v>
      </c>
      <c r="V129" s="260">
        <v>0</v>
      </c>
      <c r="W129" s="260">
        <v>0</v>
      </c>
      <c r="X129" s="260">
        <v>0</v>
      </c>
      <c r="Y129" s="260">
        <v>0</v>
      </c>
      <c r="Z129" s="260">
        <v>0</v>
      </c>
      <c r="AA129" s="260">
        <v>0</v>
      </c>
      <c r="AB129" s="260">
        <v>0</v>
      </c>
      <c r="AC129" s="260">
        <v>0</v>
      </c>
      <c r="AD129" s="260">
        <v>0</v>
      </c>
      <c r="AE129" s="260">
        <v>0</v>
      </c>
      <c r="AF129" s="260">
        <v>0</v>
      </c>
      <c r="AG129" s="260">
        <v>0</v>
      </c>
      <c r="AH129" s="260">
        <v>0</v>
      </c>
      <c r="AI129" s="260">
        <v>0</v>
      </c>
      <c r="AJ129" s="260">
        <v>0</v>
      </c>
      <c r="AK129" s="260">
        <v>0</v>
      </c>
      <c r="AL129" s="260">
        <v>0</v>
      </c>
      <c r="AM129" s="260">
        <v>0</v>
      </c>
      <c r="AN129" s="260">
        <v>0</v>
      </c>
      <c r="AO129" s="260">
        <v>0</v>
      </c>
      <c r="AP129" s="260">
        <v>0</v>
      </c>
      <c r="AQ129" s="260">
        <v>0</v>
      </c>
      <c r="AR129" s="260">
        <v>0</v>
      </c>
      <c r="AS129" s="260">
        <v>0</v>
      </c>
      <c r="AT129" s="260">
        <v>0</v>
      </c>
      <c r="AU129" s="260">
        <v>0</v>
      </c>
      <c r="AV129" s="260">
        <v>0</v>
      </c>
      <c r="AW129" s="260">
        <v>0</v>
      </c>
      <c r="AX129" s="260">
        <v>0</v>
      </c>
      <c r="AY129" s="260">
        <v>0</v>
      </c>
      <c r="AZ129" s="260">
        <v>0</v>
      </c>
      <c r="BA129" s="260">
        <v>0</v>
      </c>
      <c r="BB129" s="260">
        <v>0</v>
      </c>
      <c r="BC129" s="260">
        <v>0</v>
      </c>
      <c r="BD129" s="260">
        <v>0</v>
      </c>
      <c r="BE129" s="260">
        <v>0</v>
      </c>
      <c r="BF129" s="260">
        <v>0</v>
      </c>
      <c r="BG129" s="260">
        <v>0</v>
      </c>
      <c r="BH129" s="260">
        <v>0</v>
      </c>
      <c r="BI129" s="260">
        <v>0</v>
      </c>
      <c r="BJ129" s="260">
        <v>0</v>
      </c>
      <c r="BK129" s="260">
        <v>0</v>
      </c>
      <c r="BL129" s="260">
        <v>0</v>
      </c>
      <c r="BM129" s="260">
        <v>0</v>
      </c>
      <c r="BN129" s="260">
        <v>0</v>
      </c>
      <c r="BO129" s="260">
        <v>0</v>
      </c>
      <c r="BP129" s="260">
        <v>0</v>
      </c>
      <c r="BQ129" s="260">
        <v>0</v>
      </c>
      <c r="BR129" s="260">
        <v>0</v>
      </c>
      <c r="BS129" s="260">
        <v>0</v>
      </c>
      <c r="BT129" s="260">
        <v>0</v>
      </c>
      <c r="BU129" s="260">
        <v>0</v>
      </c>
      <c r="BV129" s="260">
        <v>0</v>
      </c>
      <c r="BW129" s="260">
        <v>0</v>
      </c>
      <c r="BX129" s="260">
        <v>0</v>
      </c>
      <c r="BY129" s="260">
        <v>0</v>
      </c>
      <c r="BZ129" s="260">
        <v>0</v>
      </c>
      <c r="CA129" s="260">
        <v>0</v>
      </c>
      <c r="CB129" s="260">
        <v>0</v>
      </c>
      <c r="CC129" s="260">
        <v>0</v>
      </c>
      <c r="CD129" s="260">
        <v>0</v>
      </c>
      <c r="CE129" s="260">
        <v>0</v>
      </c>
      <c r="CF129" s="260">
        <v>0</v>
      </c>
      <c r="CG129" s="260">
        <v>0</v>
      </c>
      <c r="CH129" s="260">
        <v>0</v>
      </c>
    </row>
    <row r="130" spans="1:86" x14ac:dyDescent="0.25">
      <c r="A130" s="170">
        <v>2</v>
      </c>
      <c r="B130" s="170">
        <v>19</v>
      </c>
      <c r="C130" s="259">
        <v>0</v>
      </c>
      <c r="D130" s="259">
        <v>0</v>
      </c>
      <c r="E130" s="259">
        <v>0</v>
      </c>
      <c r="F130" s="259">
        <v>0</v>
      </c>
      <c r="G130" s="259">
        <v>0</v>
      </c>
      <c r="H130" s="259">
        <v>0</v>
      </c>
      <c r="I130" s="260">
        <v>0</v>
      </c>
      <c r="J130" s="260">
        <v>0</v>
      </c>
      <c r="K130" s="260">
        <v>0</v>
      </c>
      <c r="L130" s="260">
        <v>0</v>
      </c>
      <c r="M130" s="260">
        <v>0</v>
      </c>
      <c r="N130" s="260">
        <v>0</v>
      </c>
      <c r="O130" s="260">
        <v>0</v>
      </c>
      <c r="P130" s="260">
        <v>0</v>
      </c>
      <c r="Q130" s="260">
        <v>0</v>
      </c>
      <c r="R130" s="260">
        <v>0</v>
      </c>
      <c r="S130" s="260">
        <v>0</v>
      </c>
      <c r="T130" s="260">
        <v>0</v>
      </c>
      <c r="U130" s="260">
        <v>0</v>
      </c>
      <c r="V130" s="260">
        <v>0</v>
      </c>
      <c r="W130" s="260">
        <v>0</v>
      </c>
      <c r="X130" s="260">
        <v>0</v>
      </c>
      <c r="Y130" s="260">
        <v>0</v>
      </c>
      <c r="Z130" s="260">
        <v>0</v>
      </c>
      <c r="AA130" s="260">
        <v>0</v>
      </c>
      <c r="AB130" s="260">
        <v>0</v>
      </c>
      <c r="AC130" s="260">
        <v>0</v>
      </c>
      <c r="AD130" s="260">
        <v>0</v>
      </c>
      <c r="AE130" s="260">
        <v>0</v>
      </c>
      <c r="AF130" s="260">
        <v>0</v>
      </c>
      <c r="AG130" s="260">
        <v>0</v>
      </c>
      <c r="AH130" s="260">
        <v>0</v>
      </c>
      <c r="AI130" s="260">
        <v>0</v>
      </c>
      <c r="AJ130" s="260">
        <v>0</v>
      </c>
      <c r="AK130" s="260">
        <v>0</v>
      </c>
      <c r="AL130" s="260">
        <v>0</v>
      </c>
      <c r="AM130" s="260">
        <v>0</v>
      </c>
      <c r="AN130" s="260">
        <v>0</v>
      </c>
      <c r="AO130" s="260">
        <v>0</v>
      </c>
      <c r="AP130" s="260">
        <v>0</v>
      </c>
      <c r="AQ130" s="260">
        <v>0</v>
      </c>
      <c r="AR130" s="260">
        <v>0</v>
      </c>
      <c r="AS130" s="260">
        <v>0</v>
      </c>
      <c r="AT130" s="260">
        <v>0</v>
      </c>
      <c r="AU130" s="260">
        <v>0</v>
      </c>
      <c r="AV130" s="260">
        <v>0</v>
      </c>
      <c r="AW130" s="260">
        <v>0</v>
      </c>
      <c r="AX130" s="260">
        <v>0</v>
      </c>
      <c r="AY130" s="260">
        <v>0</v>
      </c>
      <c r="AZ130" s="260">
        <v>0</v>
      </c>
      <c r="BA130" s="260">
        <v>0</v>
      </c>
      <c r="BB130" s="260">
        <v>0</v>
      </c>
      <c r="BC130" s="260">
        <v>0</v>
      </c>
      <c r="BD130" s="260">
        <v>0</v>
      </c>
      <c r="BE130" s="260">
        <v>0</v>
      </c>
      <c r="BF130" s="260">
        <v>0</v>
      </c>
      <c r="BG130" s="260">
        <v>0</v>
      </c>
      <c r="BH130" s="260">
        <v>0</v>
      </c>
      <c r="BI130" s="260">
        <v>0</v>
      </c>
      <c r="BJ130" s="260">
        <v>0</v>
      </c>
      <c r="BK130" s="260">
        <v>0</v>
      </c>
      <c r="BL130" s="260">
        <v>0</v>
      </c>
      <c r="BM130" s="260">
        <v>0</v>
      </c>
      <c r="BN130" s="260">
        <v>0</v>
      </c>
      <c r="BO130" s="260">
        <v>0</v>
      </c>
      <c r="BP130" s="260">
        <v>0</v>
      </c>
      <c r="BQ130" s="260">
        <v>0</v>
      </c>
      <c r="BR130" s="260">
        <v>0</v>
      </c>
      <c r="BS130" s="260">
        <v>0</v>
      </c>
      <c r="BT130" s="260">
        <v>0</v>
      </c>
      <c r="BU130" s="260">
        <v>0</v>
      </c>
      <c r="BV130" s="260">
        <v>0</v>
      </c>
      <c r="BW130" s="260">
        <v>0</v>
      </c>
      <c r="BX130" s="260">
        <v>0</v>
      </c>
      <c r="BY130" s="260">
        <v>0</v>
      </c>
      <c r="BZ130" s="260">
        <v>0</v>
      </c>
      <c r="CA130" s="260">
        <v>0</v>
      </c>
      <c r="CB130" s="260">
        <v>0</v>
      </c>
      <c r="CC130" s="260">
        <v>0</v>
      </c>
      <c r="CD130" s="260">
        <v>0</v>
      </c>
      <c r="CE130" s="260">
        <v>0</v>
      </c>
      <c r="CF130" s="260">
        <v>0</v>
      </c>
      <c r="CG130" s="260">
        <v>0</v>
      </c>
      <c r="CH130" s="260">
        <v>0</v>
      </c>
    </row>
    <row r="131" spans="1:86" x14ac:dyDescent="0.25">
      <c r="A131" s="170">
        <v>2</v>
      </c>
      <c r="B131" s="170">
        <v>20</v>
      </c>
      <c r="C131" s="259">
        <v>38.513160705566406</v>
      </c>
      <c r="D131" s="259">
        <v>38.537925720214844</v>
      </c>
      <c r="E131" s="259">
        <v>38.562328338623047</v>
      </c>
      <c r="F131" s="259">
        <v>38.586380004882813</v>
      </c>
      <c r="G131" s="259">
        <v>38.610080718994141</v>
      </c>
      <c r="H131" s="259">
        <v>38.633438110351563</v>
      </c>
      <c r="I131" s="260">
        <v>38.114514</v>
      </c>
      <c r="J131" s="260">
        <v>38.133595</v>
      </c>
      <c r="K131" s="260">
        <v>38.152577000000001</v>
      </c>
      <c r="L131" s="260">
        <v>38.171461000000001</v>
      </c>
      <c r="M131" s="260">
        <v>38.190245999999995</v>
      </c>
      <c r="N131" s="260">
        <v>38.208931999999997</v>
      </c>
      <c r="O131" s="260">
        <v>38.227519000000001</v>
      </c>
      <c r="P131" s="260">
        <v>38.246006999999999</v>
      </c>
      <c r="Q131" s="260">
        <v>38.264395999999998</v>
      </c>
      <c r="R131" s="260">
        <v>38.282685000000001</v>
      </c>
      <c r="S131" s="260">
        <v>38.300872999999996</v>
      </c>
      <c r="T131" s="260">
        <v>38.318961000000002</v>
      </c>
      <c r="U131" s="260">
        <v>38.336948999999997</v>
      </c>
      <c r="V131" s="260">
        <v>38.354835999999999</v>
      </c>
      <c r="W131" s="260">
        <v>38.372622999999997</v>
      </c>
      <c r="X131" s="260">
        <v>38.390310999999997</v>
      </c>
      <c r="Y131" s="260">
        <v>38.407897999999996</v>
      </c>
      <c r="Z131" s="260">
        <v>38.425387000000001</v>
      </c>
      <c r="AA131" s="260">
        <v>38.442775999999995</v>
      </c>
      <c r="AB131" s="260">
        <v>38.460066999999995</v>
      </c>
      <c r="AC131" s="260">
        <v>38.477260000000001</v>
      </c>
      <c r="AD131" s="260">
        <v>38.494354999999999</v>
      </c>
      <c r="AE131" s="260">
        <v>38.511351999999995</v>
      </c>
      <c r="AF131" s="260">
        <v>38.528250999999997</v>
      </c>
      <c r="AG131" s="260">
        <v>38.545054</v>
      </c>
      <c r="AH131" s="260">
        <v>38.56176</v>
      </c>
      <c r="AI131" s="260">
        <v>38.57837</v>
      </c>
      <c r="AJ131" s="260">
        <v>38.594882999999996</v>
      </c>
      <c r="AK131" s="260">
        <v>38.611300999999997</v>
      </c>
      <c r="AL131" s="260">
        <v>38.627623999999997</v>
      </c>
      <c r="AM131" s="260">
        <v>38.643851999999995</v>
      </c>
      <c r="AN131" s="260">
        <v>38.659984999999999</v>
      </c>
      <c r="AO131" s="260">
        <v>38.676023999999998</v>
      </c>
      <c r="AP131" s="260">
        <v>38.691969</v>
      </c>
      <c r="AQ131" s="260">
        <v>38.707819999999998</v>
      </c>
      <c r="AR131" s="260">
        <v>38.723577999999996</v>
      </c>
      <c r="AS131" s="260">
        <v>38.739242999999995</v>
      </c>
      <c r="AT131" s="260">
        <v>38.754815999999998</v>
      </c>
      <c r="AU131" s="260">
        <v>38.770296999999999</v>
      </c>
      <c r="AV131" s="260">
        <v>38.785685000000001</v>
      </c>
      <c r="AW131" s="260">
        <v>38.800982999999995</v>
      </c>
      <c r="AX131" s="260">
        <v>38.816189000000001</v>
      </c>
      <c r="AY131" s="260">
        <v>38.831305</v>
      </c>
      <c r="AZ131" s="260">
        <v>38.846329999999995</v>
      </c>
      <c r="BA131" s="260">
        <v>38.861264999999996</v>
      </c>
      <c r="BB131" s="260">
        <v>38.876111000000002</v>
      </c>
      <c r="BC131" s="260">
        <v>38.890867</v>
      </c>
      <c r="BD131" s="260">
        <v>38.905535</v>
      </c>
      <c r="BE131" s="260">
        <v>38.920113999999998</v>
      </c>
      <c r="BF131" s="260">
        <v>38.934604999999998</v>
      </c>
      <c r="BG131" s="260">
        <v>38.949007999999999</v>
      </c>
      <c r="BH131" s="260">
        <v>38.963324</v>
      </c>
      <c r="BI131" s="260">
        <v>38.977553999999998</v>
      </c>
      <c r="BJ131" s="260">
        <v>38.991695999999997</v>
      </c>
      <c r="BK131" s="260">
        <v>39.005752000000001</v>
      </c>
      <c r="BL131" s="260">
        <v>39.019722999999999</v>
      </c>
      <c r="BM131" s="260">
        <v>39.033608000000001</v>
      </c>
      <c r="BN131" s="260">
        <v>39.047407999999997</v>
      </c>
      <c r="BO131" s="260">
        <v>39.061122999999995</v>
      </c>
      <c r="BP131" s="260">
        <v>39.074754999999996</v>
      </c>
      <c r="BQ131" s="260">
        <v>39.088301999999999</v>
      </c>
      <c r="BR131" s="260">
        <v>39.101765999999998</v>
      </c>
      <c r="BS131" s="260">
        <v>39.115145999999996</v>
      </c>
      <c r="BT131" s="260">
        <v>39.128444000000002</v>
      </c>
      <c r="BU131" s="260">
        <v>39.141660000000002</v>
      </c>
      <c r="BV131" s="260">
        <v>39.154793999999995</v>
      </c>
      <c r="BW131" s="260">
        <v>39.167845999999997</v>
      </c>
      <c r="BX131" s="260">
        <v>39.180816999999998</v>
      </c>
      <c r="BY131" s="260">
        <v>39.193706999999996</v>
      </c>
      <c r="BZ131" s="260">
        <v>39.206516999999998</v>
      </c>
      <c r="CA131" s="260">
        <v>39.219246999999996</v>
      </c>
      <c r="CB131" s="260">
        <v>39.231898000000001</v>
      </c>
      <c r="CC131" s="260">
        <v>39.244468999999995</v>
      </c>
      <c r="CD131" s="260">
        <v>39.256962000000001</v>
      </c>
      <c r="CE131" s="260">
        <v>39.269376000000001</v>
      </c>
      <c r="CF131" s="260">
        <v>39.281711999999999</v>
      </c>
      <c r="CG131" s="260">
        <v>39.293970000000002</v>
      </c>
      <c r="CH131" s="260">
        <v>39.306151999999997</v>
      </c>
    </row>
    <row r="132" spans="1:86" x14ac:dyDescent="0.25">
      <c r="A132" s="170">
        <v>2</v>
      </c>
      <c r="B132" s="170">
        <v>21</v>
      </c>
      <c r="C132" s="259">
        <v>38.252399444580078</v>
      </c>
      <c r="D132" s="259">
        <v>38.277923583984375</v>
      </c>
      <c r="E132" s="259">
        <v>38.303070068359375</v>
      </c>
      <c r="F132" s="259">
        <v>38.327854156494141</v>
      </c>
      <c r="G132" s="259">
        <v>38.352279663085938</v>
      </c>
      <c r="H132" s="259">
        <v>38.376346588134766</v>
      </c>
      <c r="I132" s="260">
        <v>37.857672000000001</v>
      </c>
      <c r="J132" s="260">
        <v>37.877136</v>
      </c>
      <c r="K132" s="260">
        <v>37.896499999999996</v>
      </c>
      <c r="L132" s="260">
        <v>37.915762999999998</v>
      </c>
      <c r="M132" s="260">
        <v>37.934925</v>
      </c>
      <c r="N132" s="260">
        <v>37.953986999999998</v>
      </c>
      <c r="O132" s="260">
        <v>37.972947999999995</v>
      </c>
      <c r="P132" s="260">
        <v>37.991807999999999</v>
      </c>
      <c r="Q132" s="260">
        <v>38.010567999999999</v>
      </c>
      <c r="R132" s="260">
        <v>38.029226000000001</v>
      </c>
      <c r="S132" s="260">
        <v>38.047782999999995</v>
      </c>
      <c r="T132" s="260">
        <v>38.066237999999998</v>
      </c>
      <c r="U132" s="260">
        <v>38.084590999999996</v>
      </c>
      <c r="V132" s="260">
        <v>38.102841999999995</v>
      </c>
      <c r="W132" s="260">
        <v>38.120992000000001</v>
      </c>
      <c r="X132" s="260">
        <v>38.139040000000001</v>
      </c>
      <c r="Y132" s="260">
        <v>38.156987999999998</v>
      </c>
      <c r="Z132" s="260">
        <v>38.174835000000002</v>
      </c>
      <c r="AA132" s="260">
        <v>38.192580999999997</v>
      </c>
      <c r="AB132" s="260">
        <v>38.210228000000001</v>
      </c>
      <c r="AC132" s="260">
        <v>38.227773999999997</v>
      </c>
      <c r="AD132" s="260">
        <v>38.245221999999998</v>
      </c>
      <c r="AE132" s="260">
        <v>38.262569999999997</v>
      </c>
      <c r="AF132" s="260">
        <v>38.279818999999996</v>
      </c>
      <c r="AG132" s="260">
        <v>38.296970000000002</v>
      </c>
      <c r="AH132" s="260">
        <v>38.314022999999999</v>
      </c>
      <c r="AI132" s="260">
        <v>38.330978000000002</v>
      </c>
      <c r="AJ132" s="260">
        <v>38.347836000000001</v>
      </c>
      <c r="AK132" s="260">
        <v>38.364595999999999</v>
      </c>
      <c r="AL132" s="260">
        <v>38.381259999999997</v>
      </c>
      <c r="AM132" s="260">
        <v>38.397826999999999</v>
      </c>
      <c r="AN132" s="260">
        <v>38.414297999999995</v>
      </c>
      <c r="AO132" s="260">
        <v>38.430672999999999</v>
      </c>
      <c r="AP132" s="260">
        <v>38.446953000000001</v>
      </c>
      <c r="AQ132" s="260">
        <v>38.463138000000001</v>
      </c>
      <c r="AR132" s="260">
        <v>38.479227999999999</v>
      </c>
      <c r="AS132" s="260">
        <v>38.495222999999996</v>
      </c>
      <c r="AT132" s="260">
        <v>38.511125</v>
      </c>
      <c r="AU132" s="260">
        <v>38.526933</v>
      </c>
      <c r="AV132" s="260">
        <v>38.542648</v>
      </c>
      <c r="AW132" s="260">
        <v>38.55827</v>
      </c>
      <c r="AX132" s="260">
        <v>38.573799000000001</v>
      </c>
      <c r="AY132" s="260">
        <v>38.589236</v>
      </c>
      <c r="AZ132" s="260">
        <v>38.604580999999996</v>
      </c>
      <c r="BA132" s="260">
        <v>38.619834999999995</v>
      </c>
      <c r="BB132" s="260">
        <v>38.634997999999996</v>
      </c>
      <c r="BC132" s="260">
        <v>38.650069999999999</v>
      </c>
      <c r="BD132" s="260">
        <v>38.665050999999998</v>
      </c>
      <c r="BE132" s="260">
        <v>38.679943000000002</v>
      </c>
      <c r="BF132" s="260">
        <v>38.694744999999998</v>
      </c>
      <c r="BG132" s="260">
        <v>38.709457999999998</v>
      </c>
      <c r="BH132" s="260">
        <v>38.724081999999996</v>
      </c>
      <c r="BI132" s="260">
        <v>38.738617999999995</v>
      </c>
      <c r="BJ132" s="260">
        <v>38.753064999999999</v>
      </c>
      <c r="BK132" s="260">
        <v>38.767424999999996</v>
      </c>
      <c r="BL132" s="260">
        <v>38.781697999999999</v>
      </c>
      <c r="BM132" s="260">
        <v>38.795882999999996</v>
      </c>
      <c r="BN132" s="260">
        <v>38.809982999999995</v>
      </c>
      <c r="BO132" s="260">
        <v>38.823996000000001</v>
      </c>
      <c r="BP132" s="260">
        <v>38.837922999999996</v>
      </c>
      <c r="BQ132" s="260">
        <v>38.851765</v>
      </c>
      <c r="BR132" s="260">
        <v>38.865521999999999</v>
      </c>
      <c r="BS132" s="260">
        <v>38.879193999999998</v>
      </c>
      <c r="BT132" s="260">
        <v>38.892781999999997</v>
      </c>
      <c r="BU132" s="260">
        <v>38.906286999999999</v>
      </c>
      <c r="BV132" s="260">
        <v>38.919708</v>
      </c>
      <c r="BW132" s="260">
        <v>38.933045999999997</v>
      </c>
      <c r="BX132" s="260">
        <v>38.946300999999998</v>
      </c>
      <c r="BY132" s="260">
        <v>38.959474</v>
      </c>
      <c r="BZ132" s="260">
        <v>38.972564999999996</v>
      </c>
      <c r="CA132" s="260">
        <v>38.985574999999997</v>
      </c>
      <c r="CB132" s="260">
        <v>38.998503999999997</v>
      </c>
      <c r="CC132" s="260">
        <v>39.011351999999995</v>
      </c>
      <c r="CD132" s="260">
        <v>39.024121000000001</v>
      </c>
      <c r="CE132" s="260">
        <v>39.036808999999998</v>
      </c>
      <c r="CF132" s="260">
        <v>39.049416999999998</v>
      </c>
      <c r="CG132" s="260">
        <v>39.061946999999996</v>
      </c>
      <c r="CH132" s="260">
        <v>39.074397999999995</v>
      </c>
    </row>
    <row r="133" spans="1:86" x14ac:dyDescent="0.25">
      <c r="A133" s="170">
        <v>2</v>
      </c>
      <c r="B133" s="170">
        <v>22</v>
      </c>
      <c r="C133" s="259">
        <v>37.98565673828125</v>
      </c>
      <c r="D133" s="259">
        <v>38.011959075927734</v>
      </c>
      <c r="E133" s="259">
        <v>38.037879943847656</v>
      </c>
      <c r="F133" s="259">
        <v>38.063423156738281</v>
      </c>
      <c r="G133" s="259">
        <v>38.088592529296875</v>
      </c>
      <c r="H133" s="259">
        <v>38.113399505615234</v>
      </c>
      <c r="I133" s="260">
        <v>37.595462999999995</v>
      </c>
      <c r="J133" s="260">
        <v>37.615321000000002</v>
      </c>
      <c r="K133" s="260">
        <v>37.635075000000001</v>
      </c>
      <c r="L133" s="260">
        <v>37.654727000000001</v>
      </c>
      <c r="M133" s="260">
        <v>37.674275999999999</v>
      </c>
      <c r="N133" s="260">
        <v>37.693722000000001</v>
      </c>
      <c r="O133" s="260">
        <v>37.713065</v>
      </c>
      <c r="P133" s="260">
        <v>37.732306000000001</v>
      </c>
      <c r="Q133" s="260">
        <v>37.751444999999997</v>
      </c>
      <c r="R133" s="260">
        <v>37.770479999999999</v>
      </c>
      <c r="S133" s="260">
        <v>37.789412999999996</v>
      </c>
      <c r="T133" s="260">
        <v>37.808242</v>
      </c>
      <c r="U133" s="260">
        <v>37.826968000000001</v>
      </c>
      <c r="V133" s="260">
        <v>37.845590999999999</v>
      </c>
      <c r="W133" s="260">
        <v>37.864111000000001</v>
      </c>
      <c r="X133" s="260">
        <v>37.882528000000001</v>
      </c>
      <c r="Y133" s="260">
        <v>37.900843000000002</v>
      </c>
      <c r="Z133" s="260">
        <v>37.919055</v>
      </c>
      <c r="AA133" s="260">
        <v>37.937165999999998</v>
      </c>
      <c r="AB133" s="260">
        <v>37.955174999999997</v>
      </c>
      <c r="AC133" s="260">
        <v>37.973082999999995</v>
      </c>
      <c r="AD133" s="260">
        <v>37.990890999999998</v>
      </c>
      <c r="AE133" s="260">
        <v>38.008597000000002</v>
      </c>
      <c r="AF133" s="260">
        <v>38.026202999999995</v>
      </c>
      <c r="AG133" s="260">
        <v>38.043709999999997</v>
      </c>
      <c r="AH133" s="260">
        <v>38.061116999999996</v>
      </c>
      <c r="AI133" s="260">
        <v>38.078423999999998</v>
      </c>
      <c r="AJ133" s="260">
        <v>38.095631999999995</v>
      </c>
      <c r="AK133" s="260">
        <v>38.112741999999997</v>
      </c>
      <c r="AL133" s="260">
        <v>38.129753999999998</v>
      </c>
      <c r="AM133" s="260">
        <v>38.146667999999998</v>
      </c>
      <c r="AN133" s="260">
        <v>38.163483999999997</v>
      </c>
      <c r="AO133" s="260">
        <v>38.180202000000001</v>
      </c>
      <c r="AP133" s="260">
        <v>38.196823999999999</v>
      </c>
      <c r="AQ133" s="260">
        <v>38.213349999999998</v>
      </c>
      <c r="AR133" s="260">
        <v>38.229779000000001</v>
      </c>
      <c r="AS133" s="260">
        <v>38.246111999999997</v>
      </c>
      <c r="AT133" s="260">
        <v>38.262349</v>
      </c>
      <c r="AU133" s="260">
        <v>38.278492</v>
      </c>
      <c r="AV133" s="260">
        <v>38.294539999999998</v>
      </c>
      <c r="AW133" s="260">
        <v>38.310493000000001</v>
      </c>
      <c r="AX133" s="260">
        <v>38.326352</v>
      </c>
      <c r="AY133" s="260">
        <v>38.342117000000002</v>
      </c>
      <c r="AZ133" s="260">
        <v>38.357790000000001</v>
      </c>
      <c r="BA133" s="260">
        <v>38.373368999999997</v>
      </c>
      <c r="BB133" s="260">
        <v>38.388855</v>
      </c>
      <c r="BC133" s="260">
        <v>38.404249999999998</v>
      </c>
      <c r="BD133" s="260">
        <v>38.419551999999996</v>
      </c>
      <c r="BE133" s="260">
        <v>38.434762999999997</v>
      </c>
      <c r="BF133" s="260">
        <v>38.449883</v>
      </c>
      <c r="BG133" s="260">
        <v>38.464911999999998</v>
      </c>
      <c r="BH133" s="260">
        <v>38.479850999999996</v>
      </c>
      <c r="BI133" s="260">
        <v>38.494700000000002</v>
      </c>
      <c r="BJ133" s="260">
        <v>38.509459</v>
      </c>
      <c r="BK133" s="260">
        <v>38.524128999999995</v>
      </c>
      <c r="BL133" s="260">
        <v>38.538710000000002</v>
      </c>
      <c r="BM133" s="260">
        <v>38.553202999999996</v>
      </c>
      <c r="BN133" s="260">
        <v>38.567608</v>
      </c>
      <c r="BO133" s="260">
        <v>38.581924999999998</v>
      </c>
      <c r="BP133" s="260">
        <v>38.596154999999996</v>
      </c>
      <c r="BQ133" s="260">
        <v>38.610298</v>
      </c>
      <c r="BR133" s="260">
        <v>38.624355000000001</v>
      </c>
      <c r="BS133" s="260">
        <v>38.638324999999995</v>
      </c>
      <c r="BT133" s="260">
        <v>38.652209999999997</v>
      </c>
      <c r="BU133" s="260">
        <v>38.666008999999995</v>
      </c>
      <c r="BV133" s="260">
        <v>38.679724</v>
      </c>
      <c r="BW133" s="260">
        <v>38.693353999999999</v>
      </c>
      <c r="BX133" s="260">
        <v>38.706899999999997</v>
      </c>
      <c r="BY133" s="260">
        <v>38.720362000000002</v>
      </c>
      <c r="BZ133" s="260">
        <v>38.733740999999995</v>
      </c>
      <c r="CA133" s="260">
        <v>38.747036999999999</v>
      </c>
      <c r="CB133" s="260">
        <v>38.760250999999997</v>
      </c>
      <c r="CC133" s="260">
        <v>38.773381999999998</v>
      </c>
      <c r="CD133" s="260">
        <v>38.786431999999998</v>
      </c>
      <c r="CE133" s="260">
        <v>38.799399999999999</v>
      </c>
      <c r="CF133" s="260">
        <v>38.812287999999995</v>
      </c>
      <c r="CG133" s="260">
        <v>38.825094</v>
      </c>
      <c r="CH133" s="260">
        <v>38.837820999999998</v>
      </c>
    </row>
    <row r="134" spans="1:86" x14ac:dyDescent="0.25">
      <c r="A134" s="170">
        <v>2</v>
      </c>
      <c r="B134" s="170">
        <v>23</v>
      </c>
      <c r="C134" s="259">
        <v>37.712787628173828</v>
      </c>
      <c r="D134" s="259">
        <v>37.739902496337891</v>
      </c>
      <c r="E134" s="259">
        <v>37.766616821289063</v>
      </c>
      <c r="F134" s="259">
        <v>37.792945861816406</v>
      </c>
      <c r="G134" s="259">
        <v>37.818893432617188</v>
      </c>
      <c r="H134" s="259">
        <v>37.844459533691406</v>
      </c>
      <c r="I134" s="260">
        <v>37.327885999999999</v>
      </c>
      <c r="J134" s="260">
        <v>37.348146</v>
      </c>
      <c r="K134" s="260">
        <v>37.368299999999998</v>
      </c>
      <c r="L134" s="260">
        <v>37.388348000000001</v>
      </c>
      <c r="M134" s="260">
        <v>37.408290999999998</v>
      </c>
      <c r="N134" s="260">
        <v>37.428129999999996</v>
      </c>
      <c r="O134" s="260">
        <v>37.447862999999998</v>
      </c>
      <c r="P134" s="260">
        <v>37.467492</v>
      </c>
      <c r="Q134" s="260">
        <v>37.487015999999997</v>
      </c>
      <c r="R134" s="260">
        <v>37.506436000000001</v>
      </c>
      <c r="S134" s="260">
        <v>37.525751</v>
      </c>
      <c r="T134" s="260">
        <v>37.544961000000001</v>
      </c>
      <c r="U134" s="260">
        <v>37.564067000000001</v>
      </c>
      <c r="V134" s="260">
        <v>37.583067999999997</v>
      </c>
      <c r="W134" s="260">
        <v>37.601963999999995</v>
      </c>
      <c r="X134" s="260">
        <v>37.620756999999998</v>
      </c>
      <c r="Y134" s="260">
        <v>37.639444999999995</v>
      </c>
      <c r="Z134" s="260">
        <v>37.658029999999997</v>
      </c>
      <c r="AA134" s="260">
        <v>37.676511999999995</v>
      </c>
      <c r="AB134" s="260">
        <v>37.694890000000001</v>
      </c>
      <c r="AC134" s="260">
        <v>37.713166000000001</v>
      </c>
      <c r="AD134" s="260">
        <v>37.731339999999996</v>
      </c>
      <c r="AE134" s="260">
        <v>37.749410999999995</v>
      </c>
      <c r="AF134" s="260">
        <v>37.767381</v>
      </c>
      <c r="AG134" s="260">
        <v>37.785249</v>
      </c>
      <c r="AH134" s="260">
        <v>37.803016999999997</v>
      </c>
      <c r="AI134" s="260">
        <v>37.820682999999995</v>
      </c>
      <c r="AJ134" s="260">
        <v>37.838248999999998</v>
      </c>
      <c r="AK134" s="260">
        <v>37.855714999999996</v>
      </c>
      <c r="AL134" s="260">
        <v>37.873080999999999</v>
      </c>
      <c r="AM134" s="260">
        <v>37.890347999999996</v>
      </c>
      <c r="AN134" s="260">
        <v>37.907514999999997</v>
      </c>
      <c r="AO134" s="260">
        <v>37.924583999999996</v>
      </c>
      <c r="AP134" s="260">
        <v>37.941553999999996</v>
      </c>
      <c r="AQ134" s="260">
        <v>37.958425999999996</v>
      </c>
      <c r="AR134" s="260">
        <v>37.975200999999998</v>
      </c>
      <c r="AS134" s="260">
        <v>37.991878</v>
      </c>
      <c r="AT134" s="260">
        <v>38.008457999999997</v>
      </c>
      <c r="AU134" s="260">
        <v>38.024940999999998</v>
      </c>
      <c r="AV134" s="260">
        <v>38.041328</v>
      </c>
      <c r="AW134" s="260">
        <v>38.057618999999995</v>
      </c>
      <c r="AX134" s="260">
        <v>38.073814999999996</v>
      </c>
      <c r="AY134" s="260">
        <v>38.089914999999998</v>
      </c>
      <c r="AZ134" s="260">
        <v>38.105919999999998</v>
      </c>
      <c r="BA134" s="260">
        <v>38.121831</v>
      </c>
      <c r="BB134" s="260">
        <v>38.137647999999999</v>
      </c>
      <c r="BC134" s="260">
        <v>38.153371</v>
      </c>
      <c r="BD134" s="260">
        <v>38.168999999999997</v>
      </c>
      <c r="BE134" s="260">
        <v>38.184536999999999</v>
      </c>
      <c r="BF134" s="260">
        <v>38.199981000000001</v>
      </c>
      <c r="BG134" s="260">
        <v>38.215331999999997</v>
      </c>
      <c r="BH134" s="260">
        <v>38.230592000000001</v>
      </c>
      <c r="BI134" s="260">
        <v>38.245759999999997</v>
      </c>
      <c r="BJ134" s="260">
        <v>38.260836999999995</v>
      </c>
      <c r="BK134" s="260">
        <v>38.275824</v>
      </c>
      <c r="BL134" s="260">
        <v>38.29072</v>
      </c>
      <c r="BM134" s="260">
        <v>38.305526</v>
      </c>
      <c r="BN134" s="260">
        <v>38.320242</v>
      </c>
      <c r="BO134" s="260">
        <v>38.334869999999995</v>
      </c>
      <c r="BP134" s="260">
        <v>38.349407999999997</v>
      </c>
      <c r="BQ134" s="260">
        <v>38.363858</v>
      </c>
      <c r="BR134" s="260">
        <v>38.378220999999996</v>
      </c>
      <c r="BS134" s="260">
        <v>38.392494999999997</v>
      </c>
      <c r="BT134" s="260">
        <v>38.406681999999996</v>
      </c>
      <c r="BU134" s="260">
        <v>38.420783</v>
      </c>
      <c r="BV134" s="260">
        <v>38.434796999999996</v>
      </c>
      <c r="BW134" s="260">
        <v>38.448724999999996</v>
      </c>
      <c r="BX134" s="260">
        <v>38.462567999999997</v>
      </c>
      <c r="BY134" s="260">
        <v>38.476324999999996</v>
      </c>
      <c r="BZ134" s="260">
        <v>38.489996999999995</v>
      </c>
      <c r="CA134" s="260">
        <v>38.503585000000001</v>
      </c>
      <c r="CB134" s="260">
        <v>38.517088999999999</v>
      </c>
      <c r="CC134" s="260">
        <v>38.53051</v>
      </c>
      <c r="CD134" s="260">
        <v>38.543847</v>
      </c>
      <c r="CE134" s="260">
        <v>38.557100999999996</v>
      </c>
      <c r="CF134" s="260">
        <v>38.570273</v>
      </c>
      <c r="CG134" s="260">
        <v>38.583362999999999</v>
      </c>
      <c r="CH134" s="260">
        <v>38.596370999999998</v>
      </c>
    </row>
    <row r="135" spans="1:86" x14ac:dyDescent="0.25">
      <c r="A135" s="170">
        <v>2</v>
      </c>
      <c r="B135" s="170">
        <v>24</v>
      </c>
      <c r="C135" s="259">
        <v>37.433677673339844</v>
      </c>
      <c r="D135" s="259">
        <v>37.461624145507813</v>
      </c>
      <c r="E135" s="259">
        <v>37.489166259765625</v>
      </c>
      <c r="F135" s="259">
        <v>37.516307830810547</v>
      </c>
      <c r="G135" s="259">
        <v>37.543052673339844</v>
      </c>
      <c r="H135" s="259">
        <v>37.569412231445313</v>
      </c>
      <c r="I135" s="260">
        <v>37.054716999999997</v>
      </c>
      <c r="J135" s="260">
        <v>37.075386999999999</v>
      </c>
      <c r="K135" s="260">
        <v>37.095948</v>
      </c>
      <c r="L135" s="260">
        <v>37.116402000000001</v>
      </c>
      <c r="M135" s="260">
        <v>37.136747</v>
      </c>
      <c r="N135" s="260">
        <v>37.156985999999996</v>
      </c>
      <c r="O135" s="260">
        <v>37.177118</v>
      </c>
      <c r="P135" s="260">
        <v>37.197141999999999</v>
      </c>
      <c r="Q135" s="260">
        <v>37.217061000000001</v>
      </c>
      <c r="R135" s="260">
        <v>37.236871999999998</v>
      </c>
      <c r="S135" s="260">
        <v>37.256577999999998</v>
      </c>
      <c r="T135" s="260">
        <v>37.276176999999997</v>
      </c>
      <c r="U135" s="260">
        <v>37.295670000000001</v>
      </c>
      <c r="V135" s="260">
        <v>37.315056999999996</v>
      </c>
      <c r="W135" s="260">
        <v>37.334336999999998</v>
      </c>
      <c r="X135" s="260">
        <v>37.353513</v>
      </c>
      <c r="Y135" s="260">
        <v>37.372582999999999</v>
      </c>
      <c r="Z135" s="260">
        <v>37.391548</v>
      </c>
      <c r="AA135" s="260">
        <v>37.410407999999997</v>
      </c>
      <c r="AB135" s="260">
        <v>37.429162999999996</v>
      </c>
      <c r="AC135" s="260">
        <v>37.447814999999999</v>
      </c>
      <c r="AD135" s="260">
        <v>37.466361999999997</v>
      </c>
      <c r="AE135" s="260">
        <v>37.484806999999996</v>
      </c>
      <c r="AF135" s="260">
        <v>37.503146999999998</v>
      </c>
      <c r="AG135" s="260">
        <v>37.521384999999995</v>
      </c>
      <c r="AH135" s="260">
        <v>37.539521000000001</v>
      </c>
      <c r="AI135" s="260">
        <v>37.557553999999996</v>
      </c>
      <c r="AJ135" s="260">
        <v>37.575485</v>
      </c>
      <c r="AK135" s="260">
        <v>37.593313999999999</v>
      </c>
      <c r="AL135" s="260">
        <v>37.611041999999998</v>
      </c>
      <c r="AM135" s="260">
        <v>37.628668999999995</v>
      </c>
      <c r="AN135" s="260">
        <v>37.646195999999996</v>
      </c>
      <c r="AO135" s="260">
        <v>37.663621999999997</v>
      </c>
      <c r="AP135" s="260">
        <v>37.680948000000001</v>
      </c>
      <c r="AQ135" s="260">
        <v>37.698174000000002</v>
      </c>
      <c r="AR135" s="260">
        <v>37.715302000000001</v>
      </c>
      <c r="AS135" s="260">
        <v>37.732329999999997</v>
      </c>
      <c r="AT135" s="260">
        <v>37.74926</v>
      </c>
      <c r="AU135" s="260">
        <v>37.766090999999996</v>
      </c>
      <c r="AV135" s="260">
        <v>37.782824999999995</v>
      </c>
      <c r="AW135" s="260">
        <v>37.799461000000001</v>
      </c>
      <c r="AX135" s="260">
        <v>37.815999999999995</v>
      </c>
      <c r="AY135" s="260">
        <v>37.832442</v>
      </c>
      <c r="AZ135" s="260">
        <v>37.848787999999999</v>
      </c>
      <c r="BA135" s="260">
        <v>37.865037999999998</v>
      </c>
      <c r="BB135" s="260">
        <v>37.881191999999999</v>
      </c>
      <c r="BC135" s="260">
        <v>37.89725</v>
      </c>
      <c r="BD135" s="260">
        <v>37.913213999999996</v>
      </c>
      <c r="BE135" s="260">
        <v>37.929082999999999</v>
      </c>
      <c r="BF135" s="260">
        <v>37.944857999999996</v>
      </c>
      <c r="BG135" s="260">
        <v>37.960538999999997</v>
      </c>
      <c r="BH135" s="260">
        <v>37.976126999999998</v>
      </c>
      <c r="BI135" s="260">
        <v>37.991620999999995</v>
      </c>
      <c r="BJ135" s="260">
        <v>38.007022999999997</v>
      </c>
      <c r="BK135" s="260">
        <v>38.022332999999996</v>
      </c>
      <c r="BL135" s="260">
        <v>38.037551000000001</v>
      </c>
      <c r="BM135" s="260">
        <v>38.052676999999996</v>
      </c>
      <c r="BN135" s="260">
        <v>38.067712</v>
      </c>
      <c r="BO135" s="260">
        <v>38.082656999999998</v>
      </c>
      <c r="BP135" s="260">
        <v>38.097510999999997</v>
      </c>
      <c r="BQ135" s="260">
        <v>38.112274999999997</v>
      </c>
      <c r="BR135" s="260">
        <v>38.126948999999996</v>
      </c>
      <c r="BS135" s="260">
        <v>38.141534999999998</v>
      </c>
      <c r="BT135" s="260">
        <v>38.156031999999996</v>
      </c>
      <c r="BU135" s="260">
        <v>38.170439999999999</v>
      </c>
      <c r="BV135" s="260">
        <v>38.184759999999997</v>
      </c>
      <c r="BW135" s="260">
        <v>38.198993000000002</v>
      </c>
      <c r="BX135" s="260">
        <v>38.213138999999998</v>
      </c>
      <c r="BY135" s="260">
        <v>38.227196999999997</v>
      </c>
      <c r="BZ135" s="260">
        <v>38.241169999999997</v>
      </c>
      <c r="CA135" s="260">
        <v>38.255055999999996</v>
      </c>
      <c r="CB135" s="260">
        <v>38.268856999999997</v>
      </c>
      <c r="CC135" s="260">
        <v>38.282572999999999</v>
      </c>
      <c r="CD135" s="260">
        <v>38.296203999999996</v>
      </c>
      <c r="CE135" s="260">
        <v>38.309750999999999</v>
      </c>
      <c r="CF135" s="260">
        <v>38.323214</v>
      </c>
      <c r="CG135" s="260">
        <v>38.336593000000001</v>
      </c>
      <c r="CH135" s="260">
        <v>38.349888999999997</v>
      </c>
    </row>
    <row r="136" spans="1:86" x14ac:dyDescent="0.25">
      <c r="A136" s="170">
        <v>2</v>
      </c>
      <c r="B136" s="170">
        <v>25</v>
      </c>
      <c r="C136" s="259">
        <v>37.148204803466797</v>
      </c>
      <c r="D136" s="259">
        <v>37.177013397216797</v>
      </c>
      <c r="E136" s="259">
        <v>37.205406188964844</v>
      </c>
      <c r="F136" s="259">
        <v>37.233386993408203</v>
      </c>
      <c r="G136" s="259">
        <v>37.260959625244141</v>
      </c>
      <c r="H136" s="259">
        <v>37.288131713867188</v>
      </c>
      <c r="I136" s="260">
        <v>36.775642999999995</v>
      </c>
      <c r="J136" s="260">
        <v>36.796731999999999</v>
      </c>
      <c r="K136" s="260">
        <v>36.817709999999998</v>
      </c>
      <c r="L136" s="260">
        <v>36.838577999999998</v>
      </c>
      <c r="M136" s="260">
        <v>36.859335999999999</v>
      </c>
      <c r="N136" s="260">
        <v>36.879984</v>
      </c>
      <c r="O136" s="260">
        <v>36.900523999999997</v>
      </c>
      <c r="P136" s="260">
        <v>36.920954000000002</v>
      </c>
      <c r="Q136" s="260">
        <v>36.941275999999995</v>
      </c>
      <c r="R136" s="260">
        <v>36.961489999999998</v>
      </c>
      <c r="S136" s="260">
        <v>36.981594999999999</v>
      </c>
      <c r="T136" s="260">
        <v>37.001593</v>
      </c>
      <c r="U136" s="260">
        <v>37.021482999999996</v>
      </c>
      <c r="V136" s="260">
        <v>37.041264999999996</v>
      </c>
      <c r="W136" s="260">
        <v>37.060939999999995</v>
      </c>
      <c r="X136" s="260">
        <v>37.080506999999997</v>
      </c>
      <c r="Y136" s="260">
        <v>37.099967999999997</v>
      </c>
      <c r="Z136" s="260">
        <v>37.119323000000001</v>
      </c>
      <c r="AA136" s="260">
        <v>37.138570999999999</v>
      </c>
      <c r="AB136" s="260">
        <v>37.157713000000001</v>
      </c>
      <c r="AC136" s="260">
        <v>37.176749000000001</v>
      </c>
      <c r="AD136" s="260">
        <v>37.195679999999996</v>
      </c>
      <c r="AE136" s="260">
        <v>37.214506</v>
      </c>
      <c r="AF136" s="260">
        <v>37.233227999999997</v>
      </c>
      <c r="AG136" s="260">
        <v>37.251843999999998</v>
      </c>
      <c r="AH136" s="260">
        <v>37.270356999999997</v>
      </c>
      <c r="AI136" s="260">
        <v>37.288765999999995</v>
      </c>
      <c r="AJ136" s="260">
        <v>37.307071000000001</v>
      </c>
      <c r="AK136" s="260">
        <v>37.325272999999996</v>
      </c>
      <c r="AL136" s="260">
        <v>37.343371999999995</v>
      </c>
      <c r="AM136" s="260">
        <v>37.361368999999996</v>
      </c>
      <c r="AN136" s="260">
        <v>37.379263000000002</v>
      </c>
      <c r="AO136" s="260">
        <v>37.397055999999999</v>
      </c>
      <c r="AP136" s="260">
        <v>37.414746999999998</v>
      </c>
      <c r="AQ136" s="260">
        <v>37.432336999999997</v>
      </c>
      <c r="AR136" s="260">
        <v>37.449826000000002</v>
      </c>
      <c r="AS136" s="260">
        <v>37.467213999999998</v>
      </c>
      <c r="AT136" s="260">
        <v>37.484501999999999</v>
      </c>
      <c r="AU136" s="260">
        <v>37.501691000000001</v>
      </c>
      <c r="AV136" s="260">
        <v>37.51878</v>
      </c>
      <c r="AW136" s="260">
        <v>37.535769999999999</v>
      </c>
      <c r="AX136" s="260">
        <v>37.552661000000001</v>
      </c>
      <c r="AY136" s="260">
        <v>37.569454</v>
      </c>
      <c r="AZ136" s="260">
        <v>37.586148999999999</v>
      </c>
      <c r="BA136" s="260">
        <v>37.602745999999996</v>
      </c>
      <c r="BB136" s="260">
        <v>37.619245999999997</v>
      </c>
      <c r="BC136" s="260">
        <v>37.635649000000001</v>
      </c>
      <c r="BD136" s="260">
        <v>37.651955000000001</v>
      </c>
      <c r="BE136" s="260">
        <v>37.668164999999995</v>
      </c>
      <c r="BF136" s="260">
        <v>37.684280000000001</v>
      </c>
      <c r="BG136" s="260">
        <v>37.700299000000001</v>
      </c>
      <c r="BH136" s="260">
        <v>37.716222999999999</v>
      </c>
      <c r="BI136" s="260">
        <v>37.732051999999996</v>
      </c>
      <c r="BJ136" s="260">
        <v>37.747786999999995</v>
      </c>
      <c r="BK136" s="260">
        <v>37.763427999999998</v>
      </c>
      <c r="BL136" s="260">
        <v>37.778976</v>
      </c>
      <c r="BM136" s="260">
        <v>37.794430999999996</v>
      </c>
      <c r="BN136" s="260">
        <v>37.809792999999999</v>
      </c>
      <c r="BO136" s="260">
        <v>37.825061999999996</v>
      </c>
      <c r="BP136" s="260">
        <v>37.840240000000001</v>
      </c>
      <c r="BQ136" s="260">
        <v>37.855325999999998</v>
      </c>
      <c r="BR136" s="260">
        <v>37.870320999999997</v>
      </c>
      <c r="BS136" s="260">
        <v>37.885225999999996</v>
      </c>
      <c r="BT136" s="260">
        <v>37.900039999999997</v>
      </c>
      <c r="BU136" s="260">
        <v>37.914763999999998</v>
      </c>
      <c r="BV136" s="260">
        <v>37.929397999999999</v>
      </c>
      <c r="BW136" s="260">
        <v>37.943942999999997</v>
      </c>
      <c r="BX136" s="260">
        <v>37.958399999999997</v>
      </c>
      <c r="BY136" s="260">
        <v>37.972767999999995</v>
      </c>
      <c r="BZ136" s="260">
        <v>37.987048000000001</v>
      </c>
      <c r="CA136" s="260">
        <v>38.001241</v>
      </c>
      <c r="CB136" s="260">
        <v>38.015346999999998</v>
      </c>
      <c r="CC136" s="260">
        <v>38.029365999999996</v>
      </c>
      <c r="CD136" s="260">
        <v>38.043298</v>
      </c>
      <c r="CE136" s="260">
        <v>38.057144999999998</v>
      </c>
      <c r="CF136" s="260">
        <v>38.070906999999998</v>
      </c>
      <c r="CG136" s="260">
        <v>38.084582999999995</v>
      </c>
      <c r="CH136" s="260">
        <v>38.098174</v>
      </c>
    </row>
    <row r="137" spans="1:86" x14ac:dyDescent="0.25">
      <c r="A137" s="170">
        <v>2</v>
      </c>
      <c r="B137" s="170">
        <v>26</v>
      </c>
      <c r="C137" s="259">
        <v>36.856071472167969</v>
      </c>
      <c r="D137" s="259">
        <v>36.885761260986328</v>
      </c>
      <c r="E137" s="259">
        <v>36.915012359619141</v>
      </c>
      <c r="F137" s="259">
        <v>36.943843841552734</v>
      </c>
      <c r="G137" s="259">
        <v>36.972255706787109</v>
      </c>
      <c r="H137" s="259">
        <v>37.000255584716797</v>
      </c>
      <c r="I137" s="260">
        <v>36.490268</v>
      </c>
      <c r="J137" s="260">
        <v>36.511786999999998</v>
      </c>
      <c r="K137" s="260">
        <v>36.533192999999997</v>
      </c>
      <c r="L137" s="260">
        <v>36.554487000000002</v>
      </c>
      <c r="M137" s="260">
        <v>36.575668999999998</v>
      </c>
      <c r="N137" s="260">
        <v>36.596738999999999</v>
      </c>
      <c r="O137" s="260">
        <v>36.617697999999997</v>
      </c>
      <c r="P137" s="260">
        <v>36.638546999999996</v>
      </c>
      <c r="Q137" s="260">
        <v>36.659284999999997</v>
      </c>
      <c r="R137" s="260">
        <v>36.679912000000002</v>
      </c>
      <c r="S137" s="260">
        <v>36.700429999999997</v>
      </c>
      <c r="T137" s="260">
        <v>36.720838000000001</v>
      </c>
      <c r="U137" s="260">
        <v>36.741136999999995</v>
      </c>
      <c r="V137" s="260">
        <v>36.761327000000001</v>
      </c>
      <c r="W137" s="260">
        <v>36.781407999999999</v>
      </c>
      <c r="X137" s="260">
        <v>36.801380000000002</v>
      </c>
      <c r="Y137" s="260">
        <v>36.821244</v>
      </c>
      <c r="Z137" s="260">
        <v>36.841000000000001</v>
      </c>
      <c r="AA137" s="260">
        <v>36.860647999999998</v>
      </c>
      <c r="AB137" s="260">
        <v>36.880187999999997</v>
      </c>
      <c r="AC137" s="260">
        <v>36.899620999999996</v>
      </c>
      <c r="AD137" s="260">
        <v>36.918946999999996</v>
      </c>
      <c r="AE137" s="260">
        <v>36.938167</v>
      </c>
      <c r="AF137" s="260">
        <v>36.957279999999997</v>
      </c>
      <c r="AG137" s="260">
        <v>36.976286999999999</v>
      </c>
      <c r="AH137" s="260">
        <v>36.995188999999996</v>
      </c>
      <c r="AI137" s="260">
        <v>37.013984999999998</v>
      </c>
      <c r="AJ137" s="260">
        <v>37.032675999999995</v>
      </c>
      <c r="AK137" s="260">
        <v>37.051262000000001</v>
      </c>
      <c r="AL137" s="260">
        <v>37.069742999999995</v>
      </c>
      <c r="AM137" s="260">
        <v>37.088121000000001</v>
      </c>
      <c r="AN137" s="260">
        <v>37.106394000000002</v>
      </c>
      <c r="AO137" s="260">
        <v>37.124564999999997</v>
      </c>
      <c r="AP137" s="260">
        <v>37.142631999999999</v>
      </c>
      <c r="AQ137" s="260">
        <v>37.160595999999998</v>
      </c>
      <c r="AR137" s="260">
        <v>37.178457000000002</v>
      </c>
      <c r="AS137" s="260">
        <v>37.196216999999997</v>
      </c>
      <c r="AT137" s="260">
        <v>37.213875000000002</v>
      </c>
      <c r="AU137" s="260">
        <v>37.231431000000001</v>
      </c>
      <c r="AV137" s="260">
        <v>37.248885999999999</v>
      </c>
      <c r="AW137" s="260">
        <v>37.266241000000001</v>
      </c>
      <c r="AX137" s="260">
        <v>37.283494999999995</v>
      </c>
      <c r="AY137" s="260">
        <v>37.300649</v>
      </c>
      <c r="AZ137" s="260">
        <v>37.317703000000002</v>
      </c>
      <c r="BA137" s="260">
        <v>37.334658999999995</v>
      </c>
      <c r="BB137" s="260">
        <v>37.351514999999999</v>
      </c>
      <c r="BC137" s="260">
        <v>37.368272999999995</v>
      </c>
      <c r="BD137" s="260">
        <v>37.384931999999999</v>
      </c>
      <c r="BE137" s="260">
        <v>37.401494</v>
      </c>
      <c r="BF137" s="260">
        <v>37.417957999999999</v>
      </c>
      <c r="BG137" s="260">
        <v>37.434325000000001</v>
      </c>
      <c r="BH137" s="260">
        <v>37.450595999999997</v>
      </c>
      <c r="BI137" s="260">
        <v>37.466769999999997</v>
      </c>
      <c r="BJ137" s="260">
        <v>37.482849000000002</v>
      </c>
      <c r="BK137" s="260">
        <v>37.498830999999996</v>
      </c>
      <c r="BL137" s="260">
        <v>37.514718999999999</v>
      </c>
      <c r="BM137" s="260">
        <v>37.530512000000002</v>
      </c>
      <c r="BN137" s="260">
        <v>37.546211</v>
      </c>
      <c r="BO137" s="260">
        <v>37.561814999999996</v>
      </c>
      <c r="BP137" s="260">
        <v>37.577325999999999</v>
      </c>
      <c r="BQ137" s="260">
        <v>37.592743999999996</v>
      </c>
      <c r="BR137" s="260">
        <v>37.608069</v>
      </c>
      <c r="BS137" s="260">
        <v>37.623301999999995</v>
      </c>
      <c r="BT137" s="260">
        <v>37.638442999999995</v>
      </c>
      <c r="BU137" s="260">
        <v>37.653492</v>
      </c>
      <c r="BV137" s="260">
        <v>37.66845</v>
      </c>
      <c r="BW137" s="260">
        <v>37.683318</v>
      </c>
      <c r="BX137" s="260">
        <v>37.698094999999995</v>
      </c>
      <c r="BY137" s="260">
        <v>37.712781999999997</v>
      </c>
      <c r="BZ137" s="260">
        <v>37.727378999999999</v>
      </c>
      <c r="CA137" s="260">
        <v>37.741886999999998</v>
      </c>
      <c r="CB137" s="260">
        <v>37.756307</v>
      </c>
      <c r="CC137" s="260">
        <v>37.770637999999998</v>
      </c>
      <c r="CD137" s="260">
        <v>37.784880999999999</v>
      </c>
      <c r="CE137" s="260">
        <v>37.799036999999998</v>
      </c>
      <c r="CF137" s="260">
        <v>37.813105999999998</v>
      </c>
      <c r="CG137" s="260">
        <v>37.827087999999996</v>
      </c>
      <c r="CH137" s="260">
        <v>37.840983999999999</v>
      </c>
    </row>
    <row r="138" spans="1:86" x14ac:dyDescent="0.25">
      <c r="A138" s="170">
        <v>2</v>
      </c>
      <c r="B138" s="170">
        <v>27</v>
      </c>
      <c r="C138" s="259">
        <v>36.557300567626953</v>
      </c>
      <c r="D138" s="259">
        <v>36.587890625</v>
      </c>
      <c r="E138" s="259">
        <v>36.618034362792969</v>
      </c>
      <c r="F138" s="259">
        <v>36.647739410400391</v>
      </c>
      <c r="G138" s="259">
        <v>36.677013397216797</v>
      </c>
      <c r="H138" s="259">
        <v>36.705867767333984</v>
      </c>
      <c r="I138" s="260">
        <v>36.198613999999999</v>
      </c>
      <c r="J138" s="260">
        <v>36.220573000000002</v>
      </c>
      <c r="K138" s="260">
        <v>36.242418000000001</v>
      </c>
      <c r="L138" s="260">
        <v>36.264147999999999</v>
      </c>
      <c r="M138" s="260">
        <v>36.285764</v>
      </c>
      <c r="N138" s="260">
        <v>36.307266999999996</v>
      </c>
      <c r="O138" s="260">
        <v>36.328657</v>
      </c>
      <c r="P138" s="260">
        <v>36.349933999999998</v>
      </c>
      <c r="Q138" s="260">
        <v>36.371099000000001</v>
      </c>
      <c r="R138" s="260">
        <v>36.392151999999996</v>
      </c>
      <c r="S138" s="260">
        <v>36.413092999999996</v>
      </c>
      <c r="T138" s="260">
        <v>36.433923</v>
      </c>
      <c r="U138" s="260">
        <v>36.454642</v>
      </c>
      <c r="V138" s="260">
        <v>36.475251</v>
      </c>
      <c r="W138" s="260">
        <v>36.495747999999999</v>
      </c>
      <c r="X138" s="260">
        <v>36.516135999999996</v>
      </c>
      <c r="Y138" s="260">
        <v>36.536414000000001</v>
      </c>
      <c r="Z138" s="260">
        <v>36.556581999999999</v>
      </c>
      <c r="AA138" s="260">
        <v>36.576639999999998</v>
      </c>
      <c r="AB138" s="260">
        <v>36.596589999999999</v>
      </c>
      <c r="AC138" s="260">
        <v>36.616430999999999</v>
      </c>
      <c r="AD138" s="260">
        <v>36.636162999999996</v>
      </c>
      <c r="AE138" s="260">
        <v>36.655786999999997</v>
      </c>
      <c r="AF138" s="260">
        <v>36.675301999999995</v>
      </c>
      <c r="AG138" s="260">
        <v>36.694710999999998</v>
      </c>
      <c r="AH138" s="260">
        <v>36.714010999999999</v>
      </c>
      <c r="AI138" s="260">
        <v>36.733204999999998</v>
      </c>
      <c r="AJ138" s="260">
        <v>36.752291999999997</v>
      </c>
      <c r="AK138" s="260">
        <v>36.771273000000001</v>
      </c>
      <c r="AL138" s="260">
        <v>36.790146999999997</v>
      </c>
      <c r="AM138" s="260">
        <v>36.808915999999996</v>
      </c>
      <c r="AN138" s="260">
        <v>36.827579</v>
      </c>
      <c r="AO138" s="260">
        <v>36.846136999999999</v>
      </c>
      <c r="AP138" s="260">
        <v>36.86459</v>
      </c>
      <c r="AQ138" s="260">
        <v>36.882939</v>
      </c>
      <c r="AR138" s="260">
        <v>36.901182999999996</v>
      </c>
      <c r="AS138" s="260">
        <v>36.919323999999996</v>
      </c>
      <c r="AT138" s="260">
        <v>36.937360999999996</v>
      </c>
      <c r="AU138" s="260">
        <v>36.955295999999997</v>
      </c>
      <c r="AV138" s="260">
        <v>36.973126999999998</v>
      </c>
      <c r="AW138" s="260">
        <v>36.990856000000001</v>
      </c>
      <c r="AX138" s="260">
        <v>37.008482999999998</v>
      </c>
      <c r="AY138" s="260">
        <v>37.026007999999997</v>
      </c>
      <c r="AZ138" s="260">
        <v>37.043431999999996</v>
      </c>
      <c r="BA138" s="260">
        <v>37.060755</v>
      </c>
      <c r="BB138" s="260">
        <v>37.077978000000002</v>
      </c>
      <c r="BC138" s="260">
        <v>37.095099999999995</v>
      </c>
      <c r="BD138" s="260">
        <v>37.112121999999999</v>
      </c>
      <c r="BE138" s="260">
        <v>37.129044999999998</v>
      </c>
      <c r="BF138" s="260">
        <v>37.145868999999998</v>
      </c>
      <c r="BG138" s="260">
        <v>37.162593999999999</v>
      </c>
      <c r="BH138" s="260">
        <v>37.179220000000001</v>
      </c>
      <c r="BI138" s="260">
        <v>37.195748999999999</v>
      </c>
      <c r="BJ138" s="260">
        <v>37.212179999999996</v>
      </c>
      <c r="BK138" s="260">
        <v>37.228513999999997</v>
      </c>
      <c r="BL138" s="260">
        <v>37.244751000000001</v>
      </c>
      <c r="BM138" s="260">
        <v>37.260891000000001</v>
      </c>
      <c r="BN138" s="260">
        <v>37.276935999999999</v>
      </c>
      <c r="BO138" s="260">
        <v>37.292884999999998</v>
      </c>
      <c r="BP138" s="260">
        <v>37.308737999999998</v>
      </c>
      <c r="BQ138" s="260">
        <v>37.324497000000001</v>
      </c>
      <c r="BR138" s="260">
        <v>37.340161999999999</v>
      </c>
      <c r="BS138" s="260">
        <v>37.355731999999996</v>
      </c>
      <c r="BT138" s="260">
        <v>37.371209</v>
      </c>
      <c r="BU138" s="260">
        <v>37.386592</v>
      </c>
      <c r="BV138" s="260">
        <v>37.401882999999998</v>
      </c>
      <c r="BW138" s="260">
        <v>37.417080999999996</v>
      </c>
      <c r="BX138" s="260">
        <v>37.432186999999999</v>
      </c>
      <c r="BY138" s="260">
        <v>37.447201</v>
      </c>
      <c r="BZ138" s="260">
        <v>37.462123999999996</v>
      </c>
      <c r="CA138" s="260">
        <v>37.476956999999999</v>
      </c>
      <c r="CB138" s="260">
        <v>37.491698999999997</v>
      </c>
      <c r="CC138" s="260">
        <v>37.506350999999995</v>
      </c>
      <c r="CD138" s="260">
        <v>37.520913999999998</v>
      </c>
      <c r="CE138" s="260">
        <v>37.535387</v>
      </c>
      <c r="CF138" s="260">
        <v>37.549771999999997</v>
      </c>
      <c r="CG138" s="260">
        <v>37.564067999999999</v>
      </c>
      <c r="CH138" s="260">
        <v>37.578275999999995</v>
      </c>
    </row>
    <row r="139" spans="1:86" x14ac:dyDescent="0.25">
      <c r="A139" s="170">
        <v>2</v>
      </c>
      <c r="B139" s="170">
        <v>28</v>
      </c>
      <c r="C139" s="259">
        <v>36.251811981201172</v>
      </c>
      <c r="D139" s="259">
        <v>36.2833251953125</v>
      </c>
      <c r="E139" s="259">
        <v>36.314384460449219</v>
      </c>
      <c r="F139" s="259">
        <v>36.344993591308594</v>
      </c>
      <c r="G139" s="259">
        <v>36.375160217285156</v>
      </c>
      <c r="H139" s="259">
        <v>36.404888153076172</v>
      </c>
      <c r="I139" s="260">
        <v>35.900880000000001</v>
      </c>
      <c r="J139" s="260">
        <v>35.923286999999995</v>
      </c>
      <c r="K139" s="260">
        <v>35.945577</v>
      </c>
      <c r="L139" s="260">
        <v>35.967751</v>
      </c>
      <c r="M139" s="260">
        <v>35.989809000000001</v>
      </c>
      <c r="N139" s="260">
        <v>36.011752000000001</v>
      </c>
      <c r="O139" s="260">
        <v>36.033580999999998</v>
      </c>
      <c r="P139" s="260">
        <v>36.055295000000001</v>
      </c>
      <c r="Q139" s="260">
        <v>36.076895</v>
      </c>
      <c r="R139" s="260">
        <v>36.098382000000001</v>
      </c>
      <c r="S139" s="260">
        <v>36.119754999999998</v>
      </c>
      <c r="T139" s="260">
        <v>36.141014999999996</v>
      </c>
      <c r="U139" s="260">
        <v>36.162163</v>
      </c>
      <c r="V139" s="260">
        <v>36.183199000000002</v>
      </c>
      <c r="W139" s="260">
        <v>36.204121999999998</v>
      </c>
      <c r="X139" s="260">
        <v>36.224933</v>
      </c>
      <c r="Y139" s="260">
        <v>36.245633999999995</v>
      </c>
      <c r="Z139" s="260">
        <v>36.266221999999999</v>
      </c>
      <c r="AA139" s="260">
        <v>36.286699999999996</v>
      </c>
      <c r="AB139" s="260">
        <v>36.307066999999996</v>
      </c>
      <c r="AC139" s="260">
        <v>36.327323</v>
      </c>
      <c r="AD139" s="260">
        <v>36.347470000000001</v>
      </c>
      <c r="AE139" s="260">
        <v>36.367505999999999</v>
      </c>
      <c r="AF139" s="260">
        <v>36.387433000000001</v>
      </c>
      <c r="AG139" s="260">
        <v>36.407250999999995</v>
      </c>
      <c r="AH139" s="260">
        <v>36.426958999999997</v>
      </c>
      <c r="AI139" s="260">
        <v>36.446559000000001</v>
      </c>
      <c r="AJ139" s="260">
        <v>36.466049999999996</v>
      </c>
      <c r="AK139" s="260">
        <v>36.485433</v>
      </c>
      <c r="AL139" s="260">
        <v>36.504708999999998</v>
      </c>
      <c r="AM139" s="260">
        <v>36.523876999999999</v>
      </c>
      <c r="AN139" s="260">
        <v>36.542937999999999</v>
      </c>
      <c r="AO139" s="260">
        <v>36.561892</v>
      </c>
      <c r="AP139" s="260">
        <v>36.580739000000001</v>
      </c>
      <c r="AQ139" s="260">
        <v>36.599480999999997</v>
      </c>
      <c r="AR139" s="260">
        <v>36.618116000000001</v>
      </c>
      <c r="AS139" s="260">
        <v>36.636646999999996</v>
      </c>
      <c r="AT139" s="260">
        <v>36.655071</v>
      </c>
      <c r="AU139" s="260">
        <v>36.673392</v>
      </c>
      <c r="AV139" s="260">
        <v>36.691606999999998</v>
      </c>
      <c r="AW139" s="260">
        <v>36.709719</v>
      </c>
      <c r="AX139" s="260">
        <v>36.727727000000002</v>
      </c>
      <c r="AY139" s="260">
        <v>36.745630999999996</v>
      </c>
      <c r="AZ139" s="260">
        <v>36.763432000000002</v>
      </c>
      <c r="BA139" s="260">
        <v>36.781130999999995</v>
      </c>
      <c r="BB139" s="260">
        <v>36.798727999999997</v>
      </c>
      <c r="BC139" s="260">
        <v>36.816221999999996</v>
      </c>
      <c r="BD139" s="260">
        <v>36.833615000000002</v>
      </c>
      <c r="BE139" s="260">
        <v>36.850906999999999</v>
      </c>
      <c r="BF139" s="260">
        <v>36.868096999999999</v>
      </c>
      <c r="BG139" s="260">
        <v>36.885187999999999</v>
      </c>
      <c r="BH139" s="260">
        <v>36.902177999999999</v>
      </c>
      <c r="BI139" s="260">
        <v>36.919069</v>
      </c>
      <c r="BJ139" s="260">
        <v>36.935859999999998</v>
      </c>
      <c r="BK139" s="260">
        <v>36.952553000000002</v>
      </c>
      <c r="BL139" s="260">
        <v>36.969147</v>
      </c>
      <c r="BM139" s="260">
        <v>36.985641999999999</v>
      </c>
      <c r="BN139" s="260">
        <v>37.002040000000001</v>
      </c>
      <c r="BO139" s="260">
        <v>37.018340999999999</v>
      </c>
      <c r="BP139" s="260">
        <v>37.034545000000001</v>
      </c>
      <c r="BQ139" s="260">
        <v>37.050651999999999</v>
      </c>
      <c r="BR139" s="260">
        <v>37.066662999999998</v>
      </c>
      <c r="BS139" s="260">
        <v>37.082577999999998</v>
      </c>
      <c r="BT139" s="260">
        <v>37.098397999999996</v>
      </c>
      <c r="BU139" s="260">
        <v>37.114122999999999</v>
      </c>
      <c r="BV139" s="260">
        <v>37.129753999999998</v>
      </c>
      <c r="BW139" s="260">
        <v>37.145289999999996</v>
      </c>
      <c r="BX139" s="260">
        <v>37.160733</v>
      </c>
      <c r="BY139" s="260">
        <v>37.176082000000001</v>
      </c>
      <c r="BZ139" s="260">
        <v>37.191338000000002</v>
      </c>
      <c r="CA139" s="260">
        <v>37.206502</v>
      </c>
      <c r="CB139" s="260">
        <v>37.221573999999997</v>
      </c>
      <c r="CC139" s="260">
        <v>37.236553999999998</v>
      </c>
      <c r="CD139" s="260">
        <v>37.251443000000002</v>
      </c>
      <c r="CE139" s="260">
        <v>37.266241000000001</v>
      </c>
      <c r="CF139" s="260">
        <v>37.280949</v>
      </c>
      <c r="CG139" s="260">
        <v>37.295566000000001</v>
      </c>
      <c r="CH139" s="260">
        <v>37.310093999999999</v>
      </c>
    </row>
    <row r="140" spans="1:86" x14ac:dyDescent="0.25">
      <c r="A140" s="170">
        <v>2</v>
      </c>
      <c r="B140" s="170">
        <v>29</v>
      </c>
      <c r="C140" s="259">
        <v>35.939548492431641</v>
      </c>
      <c r="D140" s="259">
        <v>35.972019195556641</v>
      </c>
      <c r="E140" s="259">
        <v>36.004016876220703</v>
      </c>
      <c r="F140" s="259">
        <v>36.035549163818359</v>
      </c>
      <c r="G140" s="259">
        <v>36.066631317138672</v>
      </c>
      <c r="H140" s="259">
        <v>36.097263336181641</v>
      </c>
      <c r="I140" s="260">
        <v>35.597304000000001</v>
      </c>
      <c r="J140" s="260">
        <v>35.620162000000001</v>
      </c>
      <c r="K140" s="260">
        <v>35.642901999999999</v>
      </c>
      <c r="L140" s="260">
        <v>35.665523999999998</v>
      </c>
      <c r="M140" s="260">
        <v>35.688029999999998</v>
      </c>
      <c r="N140" s="260">
        <v>35.710417999999997</v>
      </c>
      <c r="O140" s="260">
        <v>35.732689999999998</v>
      </c>
      <c r="P140" s="260">
        <v>35.754846999999998</v>
      </c>
      <c r="Q140" s="260">
        <v>35.776886999999995</v>
      </c>
      <c r="R140" s="260">
        <v>35.798812999999996</v>
      </c>
      <c r="S140" s="260">
        <v>35.820623999999995</v>
      </c>
      <c r="T140" s="260">
        <v>35.842320000000001</v>
      </c>
      <c r="U140" s="260">
        <v>35.863901999999996</v>
      </c>
      <c r="V140" s="260">
        <v>35.885370000000002</v>
      </c>
      <c r="W140" s="260">
        <v>35.906723999999997</v>
      </c>
      <c r="X140" s="260">
        <v>35.927965</v>
      </c>
      <c r="Y140" s="260">
        <v>35.949092999999998</v>
      </c>
      <c r="Z140" s="260">
        <v>35.970107999999996</v>
      </c>
      <c r="AA140" s="260">
        <v>35.991011</v>
      </c>
      <c r="AB140" s="260">
        <v>36.011800999999998</v>
      </c>
      <c r="AC140" s="260">
        <v>36.032478999999995</v>
      </c>
      <c r="AD140" s="260">
        <v>36.053044999999997</v>
      </c>
      <c r="AE140" s="260">
        <v>36.073499999999996</v>
      </c>
      <c r="AF140" s="260">
        <v>36.093843</v>
      </c>
      <c r="AG140" s="260">
        <v>36.114075999999997</v>
      </c>
      <c r="AH140" s="260">
        <v>36.134197999999998</v>
      </c>
      <c r="AI140" s="260">
        <v>36.154209000000002</v>
      </c>
      <c r="AJ140" s="260">
        <v>36.174110999999996</v>
      </c>
      <c r="AK140" s="260">
        <v>36.193902999999999</v>
      </c>
      <c r="AL140" s="260">
        <v>36.213585000000002</v>
      </c>
      <c r="AM140" s="260">
        <v>36.233157999999996</v>
      </c>
      <c r="AN140" s="260">
        <v>36.252621999999995</v>
      </c>
      <c r="AO140" s="260">
        <v>36.271977999999997</v>
      </c>
      <c r="AP140" s="260">
        <v>36.291226000000002</v>
      </c>
      <c r="AQ140" s="260">
        <v>36.310365999999995</v>
      </c>
      <c r="AR140" s="260">
        <v>36.329397999999998</v>
      </c>
      <c r="AS140" s="260">
        <v>36.348323000000001</v>
      </c>
      <c r="AT140" s="260">
        <v>36.367140999999997</v>
      </c>
      <c r="AU140" s="260">
        <v>36.385852999999997</v>
      </c>
      <c r="AV140" s="260">
        <v>36.404458999999996</v>
      </c>
      <c r="AW140" s="260">
        <v>36.422958999999999</v>
      </c>
      <c r="AX140" s="260">
        <v>36.441352999999999</v>
      </c>
      <c r="AY140" s="260">
        <v>36.459641999999995</v>
      </c>
      <c r="AZ140" s="260">
        <v>36.477826999999998</v>
      </c>
      <c r="BA140" s="260">
        <v>36.495906999999995</v>
      </c>
      <c r="BB140" s="260">
        <v>36.513883</v>
      </c>
      <c r="BC140" s="260">
        <v>36.531756000000001</v>
      </c>
      <c r="BD140" s="260">
        <v>36.549524999999996</v>
      </c>
      <c r="BE140" s="260">
        <v>36.567191000000001</v>
      </c>
      <c r="BF140" s="260">
        <v>36.584755000000001</v>
      </c>
      <c r="BG140" s="260">
        <v>36.602216999999996</v>
      </c>
      <c r="BH140" s="260">
        <v>36.619577</v>
      </c>
      <c r="BI140" s="260">
        <v>36.636834999999998</v>
      </c>
      <c r="BJ140" s="260">
        <v>36.653991999999995</v>
      </c>
      <c r="BK140" s="260">
        <v>36.671048999999996</v>
      </c>
      <c r="BL140" s="260">
        <v>36.688006000000001</v>
      </c>
      <c r="BM140" s="260">
        <v>36.704861999999999</v>
      </c>
      <c r="BN140" s="260">
        <v>36.721620000000001</v>
      </c>
      <c r="BO140" s="260">
        <v>36.738278000000001</v>
      </c>
      <c r="BP140" s="260">
        <v>36.754836999999995</v>
      </c>
      <c r="BQ140" s="260">
        <v>36.771298999999999</v>
      </c>
      <c r="BR140" s="260">
        <v>36.787661999999997</v>
      </c>
      <c r="BS140" s="260">
        <v>36.803927999999999</v>
      </c>
      <c r="BT140" s="260">
        <v>36.820096999999997</v>
      </c>
      <c r="BU140" s="260">
        <v>36.836168999999998</v>
      </c>
      <c r="BV140" s="260">
        <v>36.852145</v>
      </c>
      <c r="BW140" s="260">
        <v>36.868024999999996</v>
      </c>
      <c r="BX140" s="260">
        <v>36.883809999999997</v>
      </c>
      <c r="BY140" s="260">
        <v>36.899498999999999</v>
      </c>
      <c r="BZ140" s="260">
        <v>36.915093999999996</v>
      </c>
      <c r="CA140" s="260">
        <v>36.930594999999997</v>
      </c>
      <c r="CB140" s="260">
        <v>36.946002</v>
      </c>
      <c r="CC140" s="260">
        <v>36.961315999999997</v>
      </c>
      <c r="CD140" s="260">
        <v>36.976537</v>
      </c>
      <c r="CE140" s="260">
        <v>36.991664999999998</v>
      </c>
      <c r="CF140" s="260">
        <v>37.006701</v>
      </c>
      <c r="CG140" s="260">
        <v>37.021645999999997</v>
      </c>
      <c r="CH140" s="260">
        <v>37.036498999999999</v>
      </c>
    </row>
    <row r="141" spans="1:86" x14ac:dyDescent="0.25">
      <c r="A141" s="170">
        <v>2</v>
      </c>
      <c r="B141" s="170">
        <v>30</v>
      </c>
      <c r="C141" s="259">
        <v>35.620445251464844</v>
      </c>
      <c r="D141" s="259">
        <v>35.653888702392578</v>
      </c>
      <c r="E141" s="259">
        <v>35.686851501464844</v>
      </c>
      <c r="F141" s="259">
        <v>35.719333648681641</v>
      </c>
      <c r="G141" s="259">
        <v>35.751350402832031</v>
      </c>
      <c r="H141" s="259">
        <v>35.782905578613281</v>
      </c>
      <c r="I141" s="260">
        <v>35.287709999999997</v>
      </c>
      <c r="J141" s="260">
        <v>35.311025999999998</v>
      </c>
      <c r="K141" s="260">
        <v>35.334220999999999</v>
      </c>
      <c r="L141" s="260">
        <v>35.357296999999996</v>
      </c>
      <c r="M141" s="260">
        <v>35.380254999999998</v>
      </c>
      <c r="N141" s="260">
        <v>35.403093999999996</v>
      </c>
      <c r="O141" s="260">
        <v>35.425815999999998</v>
      </c>
      <c r="P141" s="260">
        <v>35.448419999999999</v>
      </c>
      <c r="Q141" s="260">
        <v>35.470906999999997</v>
      </c>
      <c r="R141" s="260">
        <v>35.493276999999999</v>
      </c>
      <c r="S141" s="260">
        <v>35.515530999999996</v>
      </c>
      <c r="T141" s="260">
        <v>35.537669000000001</v>
      </c>
      <c r="U141" s="260">
        <v>35.559691999999998</v>
      </c>
      <c r="V141" s="260">
        <v>35.581598999999997</v>
      </c>
      <c r="W141" s="260">
        <v>35.603389999999997</v>
      </c>
      <c r="X141" s="260">
        <v>35.625067000000001</v>
      </c>
      <c r="Y141" s="260">
        <v>35.646628999999997</v>
      </c>
      <c r="Z141" s="260">
        <v>35.668076999999997</v>
      </c>
      <c r="AA141" s="260">
        <v>35.689409999999995</v>
      </c>
      <c r="AB141" s="260">
        <v>35.710628999999997</v>
      </c>
      <c r="AC141" s="260">
        <v>35.731735</v>
      </c>
      <c r="AD141" s="260">
        <v>35.752727</v>
      </c>
      <c r="AE141" s="260">
        <v>35.773606999999998</v>
      </c>
      <c r="AF141" s="260">
        <v>35.794373</v>
      </c>
      <c r="AG141" s="260">
        <v>35.815027000000001</v>
      </c>
      <c r="AH141" s="260">
        <v>35.835567999999995</v>
      </c>
      <c r="AI141" s="260">
        <v>35.855998</v>
      </c>
      <c r="AJ141" s="260">
        <v>35.876315999999996</v>
      </c>
      <c r="AK141" s="260">
        <v>35.896521999999997</v>
      </c>
      <c r="AL141" s="260">
        <v>35.916616999999995</v>
      </c>
      <c r="AM141" s="260">
        <v>35.936602000000001</v>
      </c>
      <c r="AN141" s="260">
        <v>35.956475999999995</v>
      </c>
      <c r="AO141" s="260">
        <v>35.976239</v>
      </c>
      <c r="AP141" s="260">
        <v>35.995892999999995</v>
      </c>
      <c r="AQ141" s="260">
        <v>36.015437999999996</v>
      </c>
      <c r="AR141" s="260">
        <v>36.034872999999997</v>
      </c>
      <c r="AS141" s="260">
        <v>36.054200000000002</v>
      </c>
      <c r="AT141" s="260">
        <v>36.073416999999999</v>
      </c>
      <c r="AU141" s="260">
        <v>36.092526999999997</v>
      </c>
      <c r="AV141" s="260">
        <v>36.111528999999997</v>
      </c>
      <c r="AW141" s="260">
        <v>36.130423</v>
      </c>
      <c r="AX141" s="260">
        <v>36.149211000000001</v>
      </c>
      <c r="AY141" s="260">
        <v>36.167890999999997</v>
      </c>
      <c r="AZ141" s="260">
        <v>36.186464999999998</v>
      </c>
      <c r="BA141" s="260">
        <v>36.204932999999997</v>
      </c>
      <c r="BB141" s="260">
        <v>36.223295</v>
      </c>
      <c r="BC141" s="260">
        <v>36.241551999999999</v>
      </c>
      <c r="BD141" s="260">
        <v>36.259703000000002</v>
      </c>
      <c r="BE141" s="260">
        <v>36.277749999999997</v>
      </c>
      <c r="BF141" s="260">
        <v>36.295693</v>
      </c>
      <c r="BG141" s="260">
        <v>36.313531999999995</v>
      </c>
      <c r="BH141" s="260">
        <v>36.331268000000001</v>
      </c>
      <c r="BI141" s="260">
        <v>36.3489</v>
      </c>
      <c r="BJ141" s="260">
        <v>36.366430000000001</v>
      </c>
      <c r="BK141" s="260">
        <v>36.383856999999999</v>
      </c>
      <c r="BL141" s="260">
        <v>36.401181999999999</v>
      </c>
      <c r="BM141" s="260">
        <v>36.418405999999997</v>
      </c>
      <c r="BN141" s="260">
        <v>36.435528999999995</v>
      </c>
      <c r="BO141" s="260">
        <v>36.452549999999995</v>
      </c>
      <c r="BP141" s="260">
        <v>36.469471999999996</v>
      </c>
      <c r="BQ141" s="260">
        <v>36.486292999999996</v>
      </c>
      <c r="BR141" s="260">
        <v>36.503014999999998</v>
      </c>
      <c r="BS141" s="260">
        <v>36.519636999999996</v>
      </c>
      <c r="BT141" s="260">
        <v>36.536161</v>
      </c>
      <c r="BU141" s="260">
        <v>36.552586999999995</v>
      </c>
      <c r="BV141" s="260">
        <v>36.568913999999999</v>
      </c>
      <c r="BW141" s="260">
        <v>36.585144</v>
      </c>
      <c r="BX141" s="260">
        <v>36.601276999999996</v>
      </c>
      <c r="BY141" s="260">
        <v>36.617312999999996</v>
      </c>
      <c r="BZ141" s="260">
        <v>36.633251999999999</v>
      </c>
      <c r="CA141" s="260">
        <v>36.649096</v>
      </c>
      <c r="CB141" s="260">
        <v>36.664843999999995</v>
      </c>
      <c r="CC141" s="260">
        <v>36.680498</v>
      </c>
      <c r="CD141" s="260">
        <v>36.696055999999999</v>
      </c>
      <c r="CE141" s="260">
        <v>36.71152</v>
      </c>
      <c r="CF141" s="260">
        <v>36.726890999999995</v>
      </c>
      <c r="CG141" s="260">
        <v>36.742167999999999</v>
      </c>
      <c r="CH141" s="260">
        <v>36.757351999999997</v>
      </c>
    </row>
    <row r="142" spans="1:86" x14ac:dyDescent="0.25">
      <c r="A142" s="170">
        <v>2</v>
      </c>
      <c r="B142" s="170">
        <v>31</v>
      </c>
      <c r="C142" s="259">
        <v>35.294185638427734</v>
      </c>
      <c r="D142" s="259">
        <v>35.328598022460938</v>
      </c>
      <c r="E142" s="259">
        <v>35.362514495849609</v>
      </c>
      <c r="F142" s="259">
        <v>35.395942687988281</v>
      </c>
      <c r="G142" s="259">
        <v>35.428890228271484</v>
      </c>
      <c r="H142" s="259">
        <v>35.461368560791016</v>
      </c>
      <c r="I142" s="260">
        <v>34.971896000000001</v>
      </c>
      <c r="J142" s="260">
        <v>34.995675999999996</v>
      </c>
      <c r="K142" s="260">
        <v>35.019334000000001</v>
      </c>
      <c r="L142" s="260">
        <v>35.042870999999998</v>
      </c>
      <c r="M142" s="260">
        <v>35.066286999999996</v>
      </c>
      <c r="N142" s="260">
        <v>35.089583999999995</v>
      </c>
      <c r="O142" s="260">
        <v>35.112760999999999</v>
      </c>
      <c r="P142" s="260">
        <v>35.135819999999995</v>
      </c>
      <c r="Q142" s="260">
        <v>35.158760000000001</v>
      </c>
      <c r="R142" s="260">
        <v>35.181581999999999</v>
      </c>
      <c r="S142" s="260">
        <v>35.204287000000001</v>
      </c>
      <c r="T142" s="260">
        <v>35.226872999999998</v>
      </c>
      <c r="U142" s="260">
        <v>35.249342999999996</v>
      </c>
      <c r="V142" s="260">
        <v>35.271695000000001</v>
      </c>
      <c r="W142" s="260">
        <v>35.293931000000001</v>
      </c>
      <c r="X142" s="260">
        <v>35.316049999999997</v>
      </c>
      <c r="Y142" s="260">
        <v>35.338052999999995</v>
      </c>
      <c r="Z142" s="260">
        <v>35.359940000000002</v>
      </c>
      <c r="AA142" s="260">
        <v>35.381710999999996</v>
      </c>
      <c r="AB142" s="260">
        <v>35.403366999999996</v>
      </c>
      <c r="AC142" s="260">
        <v>35.424906999999997</v>
      </c>
      <c r="AD142" s="260">
        <v>35.446332999999996</v>
      </c>
      <c r="AE142" s="260">
        <v>35.467642999999995</v>
      </c>
      <c r="AF142" s="260">
        <v>35.488838999999999</v>
      </c>
      <c r="AG142" s="260">
        <v>35.509920999999999</v>
      </c>
      <c r="AH142" s="260">
        <v>35.530889000000002</v>
      </c>
      <c r="AI142" s="260">
        <v>35.551743000000002</v>
      </c>
      <c r="AJ142" s="260">
        <v>35.572483999999996</v>
      </c>
      <c r="AK142" s="260">
        <v>35.593111999999998</v>
      </c>
      <c r="AL142" s="260">
        <v>35.613627000000001</v>
      </c>
      <c r="AM142" s="260">
        <v>35.634029999999996</v>
      </c>
      <c r="AN142" s="260">
        <v>35.654320999999996</v>
      </c>
      <c r="AO142" s="260">
        <v>35.674498999999997</v>
      </c>
      <c r="AP142" s="260">
        <v>35.694566999999999</v>
      </c>
      <c r="AQ142" s="260">
        <v>35.714523</v>
      </c>
      <c r="AR142" s="260">
        <v>35.734367999999996</v>
      </c>
      <c r="AS142" s="260">
        <v>35.754101999999996</v>
      </c>
      <c r="AT142" s="260">
        <v>35.773725999999996</v>
      </c>
      <c r="AU142" s="260">
        <v>35.793241000000002</v>
      </c>
      <c r="AV142" s="260">
        <v>35.812646000000001</v>
      </c>
      <c r="AW142" s="260">
        <v>35.831941</v>
      </c>
      <c r="AX142" s="260">
        <v>35.851127999999996</v>
      </c>
      <c r="AY142" s="260">
        <v>35.870205999999996</v>
      </c>
      <c r="AZ142" s="260">
        <v>35.889176999999997</v>
      </c>
      <c r="BA142" s="260">
        <v>35.908038999999995</v>
      </c>
      <c r="BB142" s="260">
        <v>35.926794000000001</v>
      </c>
      <c r="BC142" s="260">
        <v>35.945440999999995</v>
      </c>
      <c r="BD142" s="260">
        <v>35.963982999999999</v>
      </c>
      <c r="BE142" s="260">
        <v>35.982416999999998</v>
      </c>
      <c r="BF142" s="260">
        <v>36.000745999999999</v>
      </c>
      <c r="BG142" s="260">
        <v>36.018968999999998</v>
      </c>
      <c r="BH142" s="260">
        <v>36.037087</v>
      </c>
      <c r="BI142" s="260">
        <v>36.055099999999996</v>
      </c>
      <c r="BJ142" s="260">
        <v>36.073008000000002</v>
      </c>
      <c r="BK142" s="260">
        <v>36.090812999999997</v>
      </c>
      <c r="BL142" s="260">
        <v>36.108512999999995</v>
      </c>
      <c r="BM142" s="260">
        <v>36.126111000000002</v>
      </c>
      <c r="BN142" s="260">
        <v>36.143605000000001</v>
      </c>
      <c r="BO142" s="260">
        <v>36.160997000000002</v>
      </c>
      <c r="BP142" s="260">
        <v>36.178286999999997</v>
      </c>
      <c r="BQ142" s="260">
        <v>36.195475000000002</v>
      </c>
      <c r="BR142" s="260">
        <v>36.212561999999998</v>
      </c>
      <c r="BS142" s="260">
        <v>36.229548000000001</v>
      </c>
      <c r="BT142" s="260">
        <v>36.246432999999996</v>
      </c>
      <c r="BU142" s="260">
        <v>36.263217999999995</v>
      </c>
      <c r="BV142" s="260">
        <v>36.279903999999995</v>
      </c>
      <c r="BW142" s="260">
        <v>36.296489999999999</v>
      </c>
      <c r="BX142" s="260">
        <v>36.312976999999997</v>
      </c>
      <c r="BY142" s="260">
        <v>36.329366</v>
      </c>
      <c r="BZ142" s="260">
        <v>36.345656999999996</v>
      </c>
      <c r="CA142" s="260">
        <v>36.361849999999997</v>
      </c>
      <c r="CB142" s="260">
        <v>36.377946000000001</v>
      </c>
      <c r="CC142" s="260">
        <v>36.393944999999995</v>
      </c>
      <c r="CD142" s="260">
        <v>36.409847999999997</v>
      </c>
      <c r="CE142" s="260">
        <v>36.425654000000002</v>
      </c>
      <c r="CF142" s="260">
        <v>36.441365999999995</v>
      </c>
      <c r="CG142" s="260">
        <v>36.456981999999996</v>
      </c>
      <c r="CH142" s="260">
        <v>36.472502999999996</v>
      </c>
    </row>
    <row r="143" spans="1:86" x14ac:dyDescent="0.25">
      <c r="A143" s="170">
        <v>2</v>
      </c>
      <c r="B143" s="170">
        <v>32</v>
      </c>
      <c r="C143" s="259">
        <v>34.960868835449219</v>
      </c>
      <c r="D143" s="259">
        <v>34.996265411376953</v>
      </c>
      <c r="E143" s="259">
        <v>35.031154632568359</v>
      </c>
      <c r="F143" s="259">
        <v>35.065547943115234</v>
      </c>
      <c r="G143" s="259">
        <v>35.099445343017578</v>
      </c>
      <c r="H143" s="259">
        <v>35.132862091064453</v>
      </c>
      <c r="I143" s="260">
        <v>34.649704</v>
      </c>
      <c r="J143" s="260">
        <v>34.673957000000001</v>
      </c>
      <c r="K143" s="260">
        <v>34.698085999999996</v>
      </c>
      <c r="L143" s="260">
        <v>34.722090000000001</v>
      </c>
      <c r="M143" s="260">
        <v>34.745972999999999</v>
      </c>
      <c r="N143" s="260">
        <v>34.769734</v>
      </c>
      <c r="O143" s="260">
        <v>34.793374999999997</v>
      </c>
      <c r="P143" s="260">
        <v>34.816894999999995</v>
      </c>
      <c r="Q143" s="260">
        <v>34.840295999999995</v>
      </c>
      <c r="R143" s="260">
        <v>34.863576999999999</v>
      </c>
      <c r="S143" s="260">
        <v>34.886738000000001</v>
      </c>
      <c r="T143" s="260">
        <v>34.909780999999995</v>
      </c>
      <c r="U143" s="260">
        <v>34.932704999999999</v>
      </c>
      <c r="V143" s="260">
        <v>34.955509999999997</v>
      </c>
      <c r="W143" s="260">
        <v>34.978197000000002</v>
      </c>
      <c r="X143" s="260">
        <v>35.000765999999999</v>
      </c>
      <c r="Y143" s="260">
        <v>35.023216999999995</v>
      </c>
      <c r="Z143" s="260">
        <v>35.045549999999999</v>
      </c>
      <c r="AA143" s="260">
        <v>35.067766999999996</v>
      </c>
      <c r="AB143" s="260">
        <v>35.089866000000001</v>
      </c>
      <c r="AC143" s="260">
        <v>35.111848000000002</v>
      </c>
      <c r="AD143" s="260">
        <v>35.133713</v>
      </c>
      <c r="AE143" s="260">
        <v>35.155462</v>
      </c>
      <c r="AF143" s="260">
        <v>35.177095000000001</v>
      </c>
      <c r="AG143" s="260">
        <v>35.198613000000002</v>
      </c>
      <c r="AH143" s="260">
        <v>35.220013999999999</v>
      </c>
      <c r="AI143" s="260">
        <v>35.241301</v>
      </c>
      <c r="AJ143" s="260">
        <v>35.262471999999995</v>
      </c>
      <c r="AK143" s="260">
        <v>35.283529000000001</v>
      </c>
      <c r="AL143" s="260">
        <v>35.304470999999999</v>
      </c>
      <c r="AM143" s="260">
        <v>35.325299000000001</v>
      </c>
      <c r="AN143" s="260">
        <v>35.346012999999999</v>
      </c>
      <c r="AO143" s="260">
        <v>35.366613999999998</v>
      </c>
      <c r="AP143" s="260">
        <v>35.387101999999999</v>
      </c>
      <c r="AQ143" s="260">
        <v>35.407475999999996</v>
      </c>
      <c r="AR143" s="260">
        <v>35.427737999999998</v>
      </c>
      <c r="AS143" s="260">
        <v>35.447887999999999</v>
      </c>
      <c r="AT143" s="260">
        <v>35.467925999999999</v>
      </c>
      <c r="AU143" s="260">
        <v>35.487853000000001</v>
      </c>
      <c r="AV143" s="260">
        <v>35.507667999999995</v>
      </c>
      <c r="AW143" s="260">
        <v>35.527372</v>
      </c>
      <c r="AX143" s="260">
        <v>35.546965</v>
      </c>
      <c r="AY143" s="260">
        <v>35.566448000000001</v>
      </c>
      <c r="AZ143" s="260">
        <v>35.585822</v>
      </c>
      <c r="BA143" s="260">
        <v>35.605086</v>
      </c>
      <c r="BB143" s="260">
        <v>35.62424</v>
      </c>
      <c r="BC143" s="260">
        <v>35.643285999999996</v>
      </c>
      <c r="BD143" s="260">
        <v>35.662224000000002</v>
      </c>
      <c r="BE143" s="260">
        <v>35.681052999999999</v>
      </c>
      <c r="BF143" s="260">
        <v>35.699773999999998</v>
      </c>
      <c r="BG143" s="260">
        <v>35.718388999999995</v>
      </c>
      <c r="BH143" s="260">
        <v>35.736896000000002</v>
      </c>
      <c r="BI143" s="260">
        <v>35.755296000000001</v>
      </c>
      <c r="BJ143" s="260">
        <v>35.773590999999996</v>
      </c>
      <c r="BK143" s="260">
        <v>35.791778999999998</v>
      </c>
      <c r="BL143" s="260">
        <v>35.809861999999995</v>
      </c>
      <c r="BM143" s="260">
        <v>35.827840000000002</v>
      </c>
      <c r="BN143" s="260">
        <v>35.845714000000001</v>
      </c>
      <c r="BO143" s="260">
        <v>35.863482999999995</v>
      </c>
      <c r="BP143" s="260">
        <v>35.881147999999996</v>
      </c>
      <c r="BQ143" s="260">
        <v>35.898710000000001</v>
      </c>
      <c r="BR143" s="260">
        <v>35.916167999999999</v>
      </c>
      <c r="BS143" s="260">
        <v>35.933523999999998</v>
      </c>
      <c r="BT143" s="260">
        <v>35.950778</v>
      </c>
      <c r="BU143" s="260">
        <v>35.967929999999996</v>
      </c>
      <c r="BV143" s="260">
        <v>35.98498</v>
      </c>
      <c r="BW143" s="260">
        <v>36.001928999999997</v>
      </c>
      <c r="BX143" s="260">
        <v>36.018777999999998</v>
      </c>
      <c r="BY143" s="260">
        <v>36.035525999999997</v>
      </c>
      <c r="BZ143" s="260">
        <v>36.052174999999998</v>
      </c>
      <c r="CA143" s="260">
        <v>36.068723999999996</v>
      </c>
      <c r="CB143" s="260">
        <v>36.085173999999995</v>
      </c>
      <c r="CC143" s="260">
        <v>36.101526</v>
      </c>
      <c r="CD143" s="260">
        <v>36.117779999999996</v>
      </c>
      <c r="CE143" s="260">
        <v>36.133935000000001</v>
      </c>
      <c r="CF143" s="260">
        <v>36.149994</v>
      </c>
      <c r="CG143" s="260">
        <v>36.165956000000001</v>
      </c>
      <c r="CH143" s="260">
        <v>36.181820999999999</v>
      </c>
    </row>
    <row r="144" spans="1:86" x14ac:dyDescent="0.25">
      <c r="A144" s="170">
        <v>2</v>
      </c>
      <c r="B144" s="170">
        <v>33</v>
      </c>
      <c r="C144" s="259">
        <v>34.620326995849609</v>
      </c>
      <c r="D144" s="259">
        <v>34.656726837158203</v>
      </c>
      <c r="E144" s="259">
        <v>34.692607879638672</v>
      </c>
      <c r="F144" s="259">
        <v>34.727977752685547</v>
      </c>
      <c r="G144" s="259">
        <v>34.762847900390625</v>
      </c>
      <c r="H144" s="259">
        <v>34.797218322753906</v>
      </c>
      <c r="I144" s="260">
        <v>34.321227999999998</v>
      </c>
      <c r="J144" s="260">
        <v>34.345962</v>
      </c>
      <c r="K144" s="260">
        <v>34.370567999999999</v>
      </c>
      <c r="L144" s="260">
        <v>34.395046999999998</v>
      </c>
      <c r="M144" s="260">
        <v>34.419401999999998</v>
      </c>
      <c r="N144" s="260">
        <v>34.443632999999998</v>
      </c>
      <c r="O144" s="260">
        <v>34.467742000000001</v>
      </c>
      <c r="P144" s="260">
        <v>34.491729999999997</v>
      </c>
      <c r="Q144" s="260">
        <v>34.515595999999995</v>
      </c>
      <c r="R144" s="260">
        <v>34.539341</v>
      </c>
      <c r="S144" s="260">
        <v>34.562964999999998</v>
      </c>
      <c r="T144" s="260">
        <v>34.586469000000001</v>
      </c>
      <c r="U144" s="260">
        <v>34.609851999999997</v>
      </c>
      <c r="V144" s="260">
        <v>34.633116000000001</v>
      </c>
      <c r="W144" s="260">
        <v>34.656259999999996</v>
      </c>
      <c r="X144" s="260">
        <v>34.679283999999996</v>
      </c>
      <c r="Y144" s="260">
        <v>34.702188</v>
      </c>
      <c r="Z144" s="260">
        <v>34.724973999999996</v>
      </c>
      <c r="AA144" s="260">
        <v>34.747641000000002</v>
      </c>
      <c r="AB144" s="260">
        <v>34.770188999999995</v>
      </c>
      <c r="AC144" s="260">
        <v>34.792617999999997</v>
      </c>
      <c r="AD144" s="260">
        <v>34.814928999999999</v>
      </c>
      <c r="AE144" s="260">
        <v>34.837122999999998</v>
      </c>
      <c r="AF144" s="260">
        <v>34.859197999999999</v>
      </c>
      <c r="AG144" s="260">
        <v>34.881157000000002</v>
      </c>
      <c r="AH144" s="260">
        <v>34.902997999999997</v>
      </c>
      <c r="AI144" s="260">
        <v>34.924721999999996</v>
      </c>
      <c r="AJ144" s="260">
        <v>34.946328999999999</v>
      </c>
      <c r="AK144" s="260">
        <v>34.967819999999996</v>
      </c>
      <c r="AL144" s="260">
        <v>34.989194999999995</v>
      </c>
      <c r="AM144" s="260">
        <v>35.010453999999996</v>
      </c>
      <c r="AN144" s="260">
        <v>35.031597999999995</v>
      </c>
      <c r="AO144" s="260">
        <v>35.052627000000001</v>
      </c>
      <c r="AP144" s="260">
        <v>35.073540000000001</v>
      </c>
      <c r="AQ144" s="260">
        <v>35.094338999999998</v>
      </c>
      <c r="AR144" s="260">
        <v>35.115023999999998</v>
      </c>
      <c r="AS144" s="260">
        <v>35.135594999999995</v>
      </c>
      <c r="AT144" s="260">
        <v>35.156051999999995</v>
      </c>
      <c r="AU144" s="260">
        <v>35.176395999999997</v>
      </c>
      <c r="AV144" s="260">
        <v>35.196626999999999</v>
      </c>
      <c r="AW144" s="260">
        <v>35.216746000000001</v>
      </c>
      <c r="AX144" s="260">
        <v>35.236751999999996</v>
      </c>
      <c r="AY144" s="260">
        <v>35.256645999999996</v>
      </c>
      <c r="AZ144" s="260">
        <v>35.276427999999996</v>
      </c>
      <c r="BA144" s="260">
        <v>35.296098999999998</v>
      </c>
      <c r="BB144" s="260">
        <v>35.315660000000001</v>
      </c>
      <c r="BC144" s="260">
        <v>35.335108999999996</v>
      </c>
      <c r="BD144" s="260">
        <v>35.354448999999995</v>
      </c>
      <c r="BE144" s="260">
        <v>35.373677999999998</v>
      </c>
      <c r="BF144" s="260">
        <v>35.392798999999997</v>
      </c>
      <c r="BG144" s="260">
        <v>35.411809999999996</v>
      </c>
      <c r="BH144" s="260">
        <v>35.430712</v>
      </c>
      <c r="BI144" s="260">
        <v>35.449506</v>
      </c>
      <c r="BJ144" s="260">
        <v>35.468192000000002</v>
      </c>
      <c r="BK144" s="260">
        <v>35.486770999999997</v>
      </c>
      <c r="BL144" s="260">
        <v>35.505241999999996</v>
      </c>
      <c r="BM144" s="260">
        <v>35.523606000000001</v>
      </c>
      <c r="BN144" s="260">
        <v>35.541863999999997</v>
      </c>
      <c r="BO144" s="260">
        <v>35.560015999999997</v>
      </c>
      <c r="BP144" s="260">
        <v>35.578063</v>
      </c>
      <c r="BQ144" s="260">
        <v>35.596004000000001</v>
      </c>
      <c r="BR144" s="260">
        <v>35.613839999999996</v>
      </c>
      <c r="BS144" s="260">
        <v>35.631571999999998</v>
      </c>
      <c r="BT144" s="260">
        <v>35.649198999999996</v>
      </c>
      <c r="BU144" s="260">
        <v>35.666722999999998</v>
      </c>
      <c r="BV144" s="260">
        <v>35.684143999999996</v>
      </c>
      <c r="BW144" s="260">
        <v>35.701461999999999</v>
      </c>
      <c r="BX144" s="260">
        <v>35.718677999999997</v>
      </c>
      <c r="BY144" s="260">
        <v>35.735791999999996</v>
      </c>
      <c r="BZ144" s="260">
        <v>35.752803999999998</v>
      </c>
      <c r="CA144" s="260">
        <v>35.769714999999998</v>
      </c>
      <c r="CB144" s="260">
        <v>35.786524999999997</v>
      </c>
      <c r="CC144" s="260">
        <v>35.803235000000001</v>
      </c>
      <c r="CD144" s="260">
        <v>35.819845000000001</v>
      </c>
      <c r="CE144" s="260">
        <v>35.836355999999995</v>
      </c>
      <c r="CF144" s="260">
        <v>35.852767</v>
      </c>
      <c r="CG144" s="260">
        <v>35.869079999999997</v>
      </c>
      <c r="CH144" s="260">
        <v>35.885294999999999</v>
      </c>
    </row>
    <row r="145" spans="1:86" x14ac:dyDescent="0.25">
      <c r="A145" s="170">
        <v>2</v>
      </c>
      <c r="B145" s="170">
        <v>34</v>
      </c>
      <c r="C145" s="259">
        <v>34.272354125976563</v>
      </c>
      <c r="D145" s="259">
        <v>34.309776306152344</v>
      </c>
      <c r="E145" s="259">
        <v>34.346668243408203</v>
      </c>
      <c r="F145" s="259">
        <v>34.383037567138672</v>
      </c>
      <c r="G145" s="259">
        <v>34.418895721435547</v>
      </c>
      <c r="H145" s="259">
        <v>34.454250335693359</v>
      </c>
      <c r="I145" s="260">
        <v>33.986384000000001</v>
      </c>
      <c r="J145" s="260">
        <v>34.011606</v>
      </c>
      <c r="K145" s="260">
        <v>34.036695000000002</v>
      </c>
      <c r="L145" s="260">
        <v>34.061655000000002</v>
      </c>
      <c r="M145" s="260">
        <v>34.086487999999996</v>
      </c>
      <c r="N145" s="260">
        <v>34.111196</v>
      </c>
      <c r="O145" s="260">
        <v>34.135778999999999</v>
      </c>
      <c r="P145" s="260">
        <v>34.160238999999997</v>
      </c>
      <c r="Q145" s="260">
        <v>34.184574999999995</v>
      </c>
      <c r="R145" s="260">
        <v>34.20879</v>
      </c>
      <c r="S145" s="260">
        <v>34.232881999999996</v>
      </c>
      <c r="T145" s="260">
        <v>34.256851999999995</v>
      </c>
      <c r="U145" s="260">
        <v>34.280699999999996</v>
      </c>
      <c r="V145" s="260">
        <v>34.304426999999997</v>
      </c>
      <c r="W145" s="260">
        <v>34.328032</v>
      </c>
      <c r="X145" s="260">
        <v>34.351517000000001</v>
      </c>
      <c r="Y145" s="260">
        <v>34.374880999999995</v>
      </c>
      <c r="Z145" s="260">
        <v>34.398122999999998</v>
      </c>
      <c r="AA145" s="260">
        <v>34.421245999999996</v>
      </c>
      <c r="AB145" s="260">
        <v>34.444248000000002</v>
      </c>
      <c r="AC145" s="260">
        <v>34.467129999999997</v>
      </c>
      <c r="AD145" s="260">
        <v>34.489891999999998</v>
      </c>
      <c r="AE145" s="260">
        <v>34.512535</v>
      </c>
      <c r="AF145" s="260">
        <v>34.535058999999997</v>
      </c>
      <c r="AG145" s="260">
        <v>34.557462999999998</v>
      </c>
      <c r="AH145" s="260">
        <v>34.579749</v>
      </c>
      <c r="AI145" s="260">
        <v>34.601915999999996</v>
      </c>
      <c r="AJ145" s="260">
        <v>34.623964999999998</v>
      </c>
      <c r="AK145" s="260">
        <v>34.645896</v>
      </c>
      <c r="AL145" s="260">
        <v>34.667708999999995</v>
      </c>
      <c r="AM145" s="260">
        <v>34.689405000000001</v>
      </c>
      <c r="AN145" s="260">
        <v>34.710983999999996</v>
      </c>
      <c r="AO145" s="260">
        <v>34.732444999999998</v>
      </c>
      <c r="AP145" s="260">
        <v>34.753791</v>
      </c>
      <c r="AQ145" s="260">
        <v>34.775019999999998</v>
      </c>
      <c r="AR145" s="260">
        <v>34.796132999999998</v>
      </c>
      <c r="AS145" s="260">
        <v>34.817129999999999</v>
      </c>
      <c r="AT145" s="260">
        <v>34.838011999999999</v>
      </c>
      <c r="AU145" s="260">
        <v>34.858779999999996</v>
      </c>
      <c r="AV145" s="260">
        <v>34.879432000000001</v>
      </c>
      <c r="AW145" s="260">
        <v>34.899969999999996</v>
      </c>
      <c r="AX145" s="260">
        <v>34.920394000000002</v>
      </c>
      <c r="AY145" s="260">
        <v>34.940705000000001</v>
      </c>
      <c r="AZ145" s="260">
        <v>34.960901999999997</v>
      </c>
      <c r="BA145" s="260">
        <v>34.980986000000001</v>
      </c>
      <c r="BB145" s="260">
        <v>35.000957</v>
      </c>
      <c r="BC145" s="260">
        <v>35.020817000000001</v>
      </c>
      <c r="BD145" s="260">
        <v>35.040563999999996</v>
      </c>
      <c r="BE145" s="260">
        <v>35.060200000000002</v>
      </c>
      <c r="BF145" s="260">
        <v>35.079723999999999</v>
      </c>
      <c r="BG145" s="260">
        <v>35.099137999999996</v>
      </c>
      <c r="BH145" s="260">
        <v>35.118440999999997</v>
      </c>
      <c r="BI145" s="260">
        <v>35.137633999999998</v>
      </c>
      <c r="BJ145" s="260">
        <v>35.156717</v>
      </c>
      <c r="BK145" s="260">
        <v>35.175691</v>
      </c>
      <c r="BL145" s="260">
        <v>35.194555999999999</v>
      </c>
      <c r="BM145" s="260">
        <v>35.213312999999999</v>
      </c>
      <c r="BN145" s="260">
        <v>35.231960999999998</v>
      </c>
      <c r="BO145" s="260">
        <v>35.250501999999997</v>
      </c>
      <c r="BP145" s="260">
        <v>35.268934999999999</v>
      </c>
      <c r="BQ145" s="260">
        <v>35.287261000000001</v>
      </c>
      <c r="BR145" s="260">
        <v>35.305479999999996</v>
      </c>
      <c r="BS145" s="260">
        <v>35.323592999999995</v>
      </c>
      <c r="BT145" s="260">
        <v>35.341600999999997</v>
      </c>
      <c r="BU145" s="260">
        <v>35.359502999999997</v>
      </c>
      <c r="BV145" s="260">
        <v>35.377299999999998</v>
      </c>
      <c r="BW145" s="260">
        <v>35.394991999999995</v>
      </c>
      <c r="BX145" s="260">
        <v>35.412580999999996</v>
      </c>
      <c r="BY145" s="260">
        <v>35.430064999999999</v>
      </c>
      <c r="BZ145" s="260">
        <v>35.447446999999997</v>
      </c>
      <c r="CA145" s="260">
        <v>35.464725000000001</v>
      </c>
      <c r="CB145" s="260">
        <v>35.481901000000001</v>
      </c>
      <c r="CC145" s="260">
        <v>35.498975000000002</v>
      </c>
      <c r="CD145" s="260">
        <v>35.515946999999997</v>
      </c>
      <c r="CE145" s="260">
        <v>35.532817999999999</v>
      </c>
      <c r="CF145" s="260">
        <v>35.549588</v>
      </c>
      <c r="CG145" s="260">
        <v>35.566257999999998</v>
      </c>
      <c r="CH145" s="260">
        <v>35.582827999999999</v>
      </c>
    </row>
    <row r="146" spans="1:86" x14ac:dyDescent="0.25">
      <c r="A146" s="170">
        <v>2</v>
      </c>
      <c r="B146" s="170">
        <v>35</v>
      </c>
      <c r="C146" s="259">
        <v>33.916778564453125</v>
      </c>
      <c r="D146" s="259">
        <v>33.955245971679688</v>
      </c>
      <c r="E146" s="259">
        <v>33.993171691894531</v>
      </c>
      <c r="F146" s="259">
        <v>34.030563354492188</v>
      </c>
      <c r="G146" s="259">
        <v>34.067428588867188</v>
      </c>
      <c r="H146" s="259">
        <v>34.103778839111328</v>
      </c>
      <c r="I146" s="260">
        <v>33.644888999999999</v>
      </c>
      <c r="J146" s="260">
        <v>33.670609999999996</v>
      </c>
      <c r="K146" s="260">
        <v>33.696193000000001</v>
      </c>
      <c r="L146" s="260">
        <v>33.721641999999996</v>
      </c>
      <c r="M146" s="260">
        <v>33.746961999999996</v>
      </c>
      <c r="N146" s="260">
        <v>33.772151999999998</v>
      </c>
      <c r="O146" s="260">
        <v>33.797215999999999</v>
      </c>
      <c r="P146" s="260">
        <v>33.822154999999995</v>
      </c>
      <c r="Q146" s="260">
        <v>33.846969000000001</v>
      </c>
      <c r="R146" s="260">
        <v>33.871659000000001</v>
      </c>
      <c r="S146" s="260">
        <v>33.896225000000001</v>
      </c>
      <c r="T146" s="260">
        <v>33.920667999999999</v>
      </c>
      <c r="U146" s="260">
        <v>33.944986999999998</v>
      </c>
      <c r="V146" s="260">
        <v>33.969183999999998</v>
      </c>
      <c r="W146" s="260">
        <v>33.993257999999997</v>
      </c>
      <c r="X146" s="260">
        <v>34.017209000000001</v>
      </c>
      <c r="Y146" s="260">
        <v>34.041038</v>
      </c>
      <c r="Z146" s="260">
        <v>34.064744999999995</v>
      </c>
      <c r="AA146" s="260">
        <v>34.088329000000002</v>
      </c>
      <c r="AB146" s="260">
        <v>34.111792000000001</v>
      </c>
      <c r="AC146" s="260">
        <v>34.135134000000001</v>
      </c>
      <c r="AD146" s="260">
        <v>34.158353999999996</v>
      </c>
      <c r="AE146" s="260">
        <v>34.181452</v>
      </c>
      <c r="AF146" s="260">
        <v>34.204429999999995</v>
      </c>
      <c r="AG146" s="260">
        <v>34.227288000000001</v>
      </c>
      <c r="AH146" s="260">
        <v>34.250025000000001</v>
      </c>
      <c r="AI146" s="260">
        <v>34.272641999999998</v>
      </c>
      <c r="AJ146" s="260">
        <v>34.295138999999999</v>
      </c>
      <c r="AK146" s="260">
        <v>34.317515999999998</v>
      </c>
      <c r="AL146" s="260">
        <v>34.339773999999998</v>
      </c>
      <c r="AM146" s="260">
        <v>34.361913000000001</v>
      </c>
      <c r="AN146" s="260">
        <v>34.383932999999999</v>
      </c>
      <c r="AO146" s="260">
        <v>34.405834999999996</v>
      </c>
      <c r="AP146" s="260">
        <v>34.427617999999995</v>
      </c>
      <c r="AQ146" s="260">
        <v>34.449283999999999</v>
      </c>
      <c r="AR146" s="260">
        <v>34.470832000000001</v>
      </c>
      <c r="AS146" s="260">
        <v>34.492263000000001</v>
      </c>
      <c r="AT146" s="260">
        <v>34.513576</v>
      </c>
      <c r="AU146" s="260">
        <v>34.534773000000001</v>
      </c>
      <c r="AV146" s="260">
        <v>34.555853999999997</v>
      </c>
      <c r="AW146" s="260">
        <v>34.576817999999996</v>
      </c>
      <c r="AX146" s="260">
        <v>34.597667000000001</v>
      </c>
      <c r="AY146" s="260">
        <v>34.618400999999999</v>
      </c>
      <c r="AZ146" s="260">
        <v>34.639018999999998</v>
      </c>
      <c r="BA146" s="260">
        <v>34.659523</v>
      </c>
      <c r="BB146" s="260">
        <v>34.679912000000002</v>
      </c>
      <c r="BC146" s="260">
        <v>34.700187</v>
      </c>
      <c r="BD146" s="260">
        <v>34.720348999999999</v>
      </c>
      <c r="BE146" s="260">
        <v>34.740397000000002</v>
      </c>
      <c r="BF146" s="260">
        <v>34.760332999999996</v>
      </c>
      <c r="BG146" s="260">
        <v>34.780155000000001</v>
      </c>
      <c r="BH146" s="260">
        <v>34.799866000000002</v>
      </c>
      <c r="BI146" s="260">
        <v>34.819465000000001</v>
      </c>
      <c r="BJ146" s="260">
        <v>34.838951999999999</v>
      </c>
      <c r="BK146" s="260">
        <v>34.858328</v>
      </c>
      <c r="BL146" s="260">
        <v>34.877593999999995</v>
      </c>
      <c r="BM146" s="260">
        <v>34.896749</v>
      </c>
      <c r="BN146" s="260">
        <v>34.915793999999998</v>
      </c>
      <c r="BO146" s="260">
        <v>34.934728999999997</v>
      </c>
      <c r="BP146" s="260">
        <v>34.953555999999999</v>
      </c>
      <c r="BQ146" s="260">
        <v>34.972273000000001</v>
      </c>
      <c r="BR146" s="260">
        <v>34.990881999999999</v>
      </c>
      <c r="BS146" s="260">
        <v>35.009383999999997</v>
      </c>
      <c r="BT146" s="260">
        <v>35.027777</v>
      </c>
      <c r="BU146" s="260">
        <v>35.046064000000001</v>
      </c>
      <c r="BV146" s="260">
        <v>35.064243999999995</v>
      </c>
      <c r="BW146" s="260">
        <v>35.082316999999996</v>
      </c>
      <c r="BX146" s="260">
        <v>35.100283999999995</v>
      </c>
      <c r="BY146" s="260">
        <v>35.118145999999996</v>
      </c>
      <c r="BZ146" s="260">
        <v>35.135902999999999</v>
      </c>
      <c r="CA146" s="260">
        <v>35.153554999999997</v>
      </c>
      <c r="CB146" s="260">
        <v>35.171102999999995</v>
      </c>
      <c r="CC146" s="260">
        <v>35.188547</v>
      </c>
      <c r="CD146" s="260">
        <v>35.205888000000002</v>
      </c>
      <c r="CE146" s="260">
        <v>35.223126000000001</v>
      </c>
      <c r="CF146" s="260">
        <v>35.240260999999997</v>
      </c>
      <c r="CG146" s="260">
        <v>35.257294000000002</v>
      </c>
      <c r="CH146" s="260">
        <v>35.274225000000001</v>
      </c>
    </row>
    <row r="147" spans="1:86" x14ac:dyDescent="0.25">
      <c r="A147" s="170">
        <v>2</v>
      </c>
      <c r="B147" s="170">
        <v>36</v>
      </c>
      <c r="C147" s="259">
        <v>33.55352783203125</v>
      </c>
      <c r="D147" s="259">
        <v>33.593059539794922</v>
      </c>
      <c r="E147" s="259">
        <v>33.632038116455078</v>
      </c>
      <c r="F147" s="259">
        <v>33.670475006103516</v>
      </c>
      <c r="G147" s="259">
        <v>33.7083740234375</v>
      </c>
      <c r="H147" s="259">
        <v>33.745746612548828</v>
      </c>
      <c r="I147" s="260">
        <v>33.296599999999998</v>
      </c>
      <c r="J147" s="260">
        <v>33.322831000000001</v>
      </c>
      <c r="K147" s="260">
        <v>33.348917999999998</v>
      </c>
      <c r="L147" s="260">
        <v>33.374867000000002</v>
      </c>
      <c r="M147" s="260">
        <v>33.400680999999999</v>
      </c>
      <c r="N147" s="260">
        <v>33.426362999999995</v>
      </c>
      <c r="O147" s="260">
        <v>33.451915</v>
      </c>
      <c r="P147" s="260">
        <v>33.477339999999998</v>
      </c>
      <c r="Q147" s="260">
        <v>33.502637999999997</v>
      </c>
      <c r="R147" s="260">
        <v>33.527809999999995</v>
      </c>
      <c r="S147" s="260">
        <v>33.552856999999996</v>
      </c>
      <c r="T147" s="260">
        <v>33.577779</v>
      </c>
      <c r="U147" s="260">
        <v>33.602576999999997</v>
      </c>
      <c r="V147" s="260">
        <v>33.627249999999997</v>
      </c>
      <c r="W147" s="260">
        <v>33.651797999999999</v>
      </c>
      <c r="X147" s="260">
        <v>33.676223</v>
      </c>
      <c r="Y147" s="260">
        <v>33.700524000000001</v>
      </c>
      <c r="Z147" s="260">
        <v>33.724700999999996</v>
      </c>
      <c r="AA147" s="260">
        <v>33.748753999999998</v>
      </c>
      <c r="AB147" s="260">
        <v>33.772684999999996</v>
      </c>
      <c r="AC147" s="260">
        <v>33.796492000000001</v>
      </c>
      <c r="AD147" s="260">
        <v>33.820175999999996</v>
      </c>
      <c r="AE147" s="260">
        <v>33.843738000000002</v>
      </c>
      <c r="AF147" s="260">
        <v>33.867176999999998</v>
      </c>
      <c r="AG147" s="260">
        <v>33.890493999999997</v>
      </c>
      <c r="AH147" s="260">
        <v>33.913688999999998</v>
      </c>
      <c r="AI147" s="260">
        <v>33.936762000000002</v>
      </c>
      <c r="AJ147" s="260">
        <v>33.959713999999998</v>
      </c>
      <c r="AK147" s="260">
        <v>33.982543999999997</v>
      </c>
      <c r="AL147" s="260">
        <v>34.005254000000001</v>
      </c>
      <c r="AM147" s="260">
        <v>34.027842999999997</v>
      </c>
      <c r="AN147" s="260">
        <v>34.050311999999998</v>
      </c>
      <c r="AO147" s="260">
        <v>34.072659999999999</v>
      </c>
      <c r="AP147" s="260">
        <v>34.094887999999997</v>
      </c>
      <c r="AQ147" s="260">
        <v>34.116996999999998</v>
      </c>
      <c r="AR147" s="260">
        <v>34.138987</v>
      </c>
      <c r="AS147" s="260">
        <v>34.160857999999998</v>
      </c>
      <c r="AT147" s="260">
        <v>34.182609999999997</v>
      </c>
      <c r="AU147" s="260">
        <v>34.204242999999998</v>
      </c>
      <c r="AV147" s="260">
        <v>34.225758999999996</v>
      </c>
      <c r="AW147" s="260">
        <v>34.247155999999997</v>
      </c>
      <c r="AX147" s="260">
        <v>34.268436999999999</v>
      </c>
      <c r="AY147" s="260">
        <v>34.2896</v>
      </c>
      <c r="AZ147" s="260">
        <v>34.310645999999998</v>
      </c>
      <c r="BA147" s="260">
        <v>34.331576999999996</v>
      </c>
      <c r="BB147" s="260">
        <v>34.35239</v>
      </c>
      <c r="BC147" s="260">
        <v>34.373089</v>
      </c>
      <c r="BD147" s="260">
        <v>34.393670999999998</v>
      </c>
      <c r="BE147" s="260">
        <v>34.414138999999999</v>
      </c>
      <c r="BF147" s="260">
        <v>34.434491999999999</v>
      </c>
      <c r="BG147" s="260">
        <v>34.454730999999995</v>
      </c>
      <c r="BH147" s="260">
        <v>34.474855999999996</v>
      </c>
      <c r="BI147" s="260">
        <v>34.494866999999999</v>
      </c>
      <c r="BJ147" s="260">
        <v>34.514764999999997</v>
      </c>
      <c r="BK147" s="260">
        <v>34.534549999999996</v>
      </c>
      <c r="BL147" s="260">
        <v>34.554221999999996</v>
      </c>
      <c r="BM147" s="260">
        <v>34.573782999999999</v>
      </c>
      <c r="BN147" s="260">
        <v>34.593230999999996</v>
      </c>
      <c r="BO147" s="260">
        <v>34.612569000000001</v>
      </c>
      <c r="BP147" s="260">
        <v>34.631794999999997</v>
      </c>
      <c r="BQ147" s="260">
        <v>34.650911000000001</v>
      </c>
      <c r="BR147" s="260">
        <v>34.669916000000001</v>
      </c>
      <c r="BS147" s="260">
        <v>34.688811999999999</v>
      </c>
      <c r="BT147" s="260">
        <v>34.707599000000002</v>
      </c>
      <c r="BU147" s="260">
        <v>34.726275999999999</v>
      </c>
      <c r="BV147" s="260">
        <v>34.744845999999995</v>
      </c>
      <c r="BW147" s="260">
        <v>34.763306</v>
      </c>
      <c r="BX147" s="260">
        <v>34.781659999999995</v>
      </c>
      <c r="BY147" s="260">
        <v>34.799904999999995</v>
      </c>
      <c r="BZ147" s="260">
        <v>34.818044</v>
      </c>
      <c r="CA147" s="260">
        <v>34.836076999999996</v>
      </c>
      <c r="CB147" s="260">
        <v>34.854002999999999</v>
      </c>
      <c r="CC147" s="260">
        <v>34.871823999999997</v>
      </c>
      <c r="CD147" s="260">
        <v>34.889539999999997</v>
      </c>
      <c r="CE147" s="260">
        <v>34.907150999999999</v>
      </c>
      <c r="CF147" s="260">
        <v>34.924656999999996</v>
      </c>
      <c r="CG147" s="260">
        <v>34.942059999999998</v>
      </c>
      <c r="CH147" s="260">
        <v>34.959358999999999</v>
      </c>
    </row>
    <row r="148" spans="1:86" x14ac:dyDescent="0.25">
      <c r="A148" s="170">
        <v>2</v>
      </c>
      <c r="B148" s="170">
        <v>37</v>
      </c>
      <c r="C148" s="259">
        <v>33.182472229003906</v>
      </c>
      <c r="D148" s="259">
        <v>33.223091125488281</v>
      </c>
      <c r="E148" s="259">
        <v>33.263145446777344</v>
      </c>
      <c r="F148" s="259">
        <v>33.302642822265625</v>
      </c>
      <c r="G148" s="259">
        <v>33.341590881347656</v>
      </c>
      <c r="H148" s="259">
        <v>33.380001068115234</v>
      </c>
      <c r="I148" s="260">
        <v>32.941514999999995</v>
      </c>
      <c r="J148" s="260">
        <v>32.968266999999997</v>
      </c>
      <c r="K148" s="260">
        <v>32.994869000000001</v>
      </c>
      <c r="L148" s="260">
        <v>33.021324999999997</v>
      </c>
      <c r="M148" s="260">
        <v>33.047640999999999</v>
      </c>
      <c r="N148" s="260">
        <v>33.073822</v>
      </c>
      <c r="O148" s="260">
        <v>33.099868999999998</v>
      </c>
      <c r="P148" s="260">
        <v>33.125785999999998</v>
      </c>
      <c r="Q148" s="260">
        <v>33.151573999999997</v>
      </c>
      <c r="R148" s="260">
        <v>33.177234999999996</v>
      </c>
      <c r="S148" s="260">
        <v>33.202767999999999</v>
      </c>
      <c r="T148" s="260">
        <v>33.228175</v>
      </c>
      <c r="U148" s="260">
        <v>33.253456</v>
      </c>
      <c r="V148" s="260">
        <v>33.27861</v>
      </c>
      <c r="W148" s="260">
        <v>33.303640000000001</v>
      </c>
      <c r="X148" s="260">
        <v>33.328542999999996</v>
      </c>
      <c r="Y148" s="260">
        <v>33.353321999999999</v>
      </c>
      <c r="Z148" s="260">
        <v>33.377974999999999</v>
      </c>
      <c r="AA148" s="260">
        <v>33.402502999999996</v>
      </c>
      <c r="AB148" s="260">
        <v>33.426905999999995</v>
      </c>
      <c r="AC148" s="260">
        <v>33.451184999999995</v>
      </c>
      <c r="AD148" s="260">
        <v>33.475338999999998</v>
      </c>
      <c r="AE148" s="260">
        <v>33.499369000000002</v>
      </c>
      <c r="AF148" s="260">
        <v>33.523274999999998</v>
      </c>
      <c r="AG148" s="260">
        <v>33.547058</v>
      </c>
      <c r="AH148" s="260">
        <v>33.570715999999997</v>
      </c>
      <c r="AI148" s="260">
        <v>33.594251999999997</v>
      </c>
      <c r="AJ148" s="260">
        <v>33.617663999999998</v>
      </c>
      <c r="AK148" s="260">
        <v>33.640954000000001</v>
      </c>
      <c r="AL148" s="260">
        <v>33.664121000000002</v>
      </c>
      <c r="AM148" s="260">
        <v>33.687165999999998</v>
      </c>
      <c r="AN148" s="260">
        <v>33.710087999999999</v>
      </c>
      <c r="AO148" s="260">
        <v>33.732889</v>
      </c>
      <c r="AP148" s="260">
        <v>33.755569000000001</v>
      </c>
      <c r="AQ148" s="260">
        <v>33.778126999999998</v>
      </c>
      <c r="AR148" s="260">
        <v>33.800564000000001</v>
      </c>
      <c r="AS148" s="260">
        <v>33.822880999999995</v>
      </c>
      <c r="AT148" s="260">
        <v>33.845076999999996</v>
      </c>
      <c r="AU148" s="260">
        <v>33.867153000000002</v>
      </c>
      <c r="AV148" s="260">
        <v>33.889109999999995</v>
      </c>
      <c r="AW148" s="260">
        <v>33.910947</v>
      </c>
      <c r="AX148" s="260">
        <v>33.932665</v>
      </c>
      <c r="AY148" s="260">
        <v>33.954264000000002</v>
      </c>
      <c r="AZ148" s="260">
        <v>33.975743999999999</v>
      </c>
      <c r="BA148" s="260">
        <v>33.997107</v>
      </c>
      <c r="BB148" s="260">
        <v>34.018350999999996</v>
      </c>
      <c r="BC148" s="260">
        <v>34.039477999999995</v>
      </c>
      <c r="BD148" s="260">
        <v>34.060487999999999</v>
      </c>
      <c r="BE148" s="260">
        <v>34.081381999999998</v>
      </c>
      <c r="BF148" s="260">
        <v>34.102157999999996</v>
      </c>
      <c r="BG148" s="260">
        <v>34.122819</v>
      </c>
      <c r="BH148" s="260">
        <v>34.143363999999998</v>
      </c>
      <c r="BI148" s="260">
        <v>34.163792999999998</v>
      </c>
      <c r="BJ148" s="260">
        <v>34.184108000000002</v>
      </c>
      <c r="BK148" s="260">
        <v>34.204307999999997</v>
      </c>
      <c r="BL148" s="260">
        <v>34.224393999999997</v>
      </c>
      <c r="BM148" s="260">
        <v>34.244365000000002</v>
      </c>
      <c r="BN148" s="260">
        <v>34.264223999999999</v>
      </c>
      <c r="BO148" s="260">
        <v>34.283968999999999</v>
      </c>
      <c r="BP148" s="260">
        <v>34.303601</v>
      </c>
      <c r="BQ148" s="260">
        <v>34.323121</v>
      </c>
      <c r="BR148" s="260">
        <v>34.342529999999996</v>
      </c>
      <c r="BS148" s="260">
        <v>34.361826000000001</v>
      </c>
      <c r="BT148" s="260">
        <v>34.381011999999998</v>
      </c>
      <c r="BU148" s="260">
        <v>34.400086000000002</v>
      </c>
      <c r="BV148" s="260">
        <v>34.419050999999996</v>
      </c>
      <c r="BW148" s="260">
        <v>34.437905000000001</v>
      </c>
      <c r="BX148" s="260">
        <v>34.456649999999996</v>
      </c>
      <c r="BY148" s="260">
        <v>34.475285999999997</v>
      </c>
      <c r="BZ148" s="260">
        <v>34.493812999999996</v>
      </c>
      <c r="CA148" s="260">
        <v>34.512231999999997</v>
      </c>
      <c r="CB148" s="260">
        <v>34.530543000000002</v>
      </c>
      <c r="CC148" s="260">
        <v>34.548746999999999</v>
      </c>
      <c r="CD148" s="260">
        <v>34.566842999999999</v>
      </c>
      <c r="CE148" s="260">
        <v>34.584832999999996</v>
      </c>
      <c r="CF148" s="260">
        <v>34.602716999999998</v>
      </c>
      <c r="CG148" s="260">
        <v>34.620495999999996</v>
      </c>
      <c r="CH148" s="260">
        <v>34.638168999999998</v>
      </c>
    </row>
    <row r="149" spans="1:86" x14ac:dyDescent="0.25">
      <c r="A149" s="170">
        <v>2</v>
      </c>
      <c r="B149" s="170">
        <v>38</v>
      </c>
      <c r="C149" s="259">
        <v>32.803546905517578</v>
      </c>
      <c r="D149" s="259">
        <v>32.845264434814453</v>
      </c>
      <c r="E149" s="259">
        <v>32.886405944824219</v>
      </c>
      <c r="F149" s="259">
        <v>32.926979064941406</v>
      </c>
      <c r="G149" s="259">
        <v>32.966995239257813</v>
      </c>
      <c r="H149" s="259">
        <v>33.006458282470703</v>
      </c>
      <c r="I149" s="260">
        <v>32.579780999999997</v>
      </c>
      <c r="J149" s="260">
        <v>32.607062999999997</v>
      </c>
      <c r="K149" s="260">
        <v>32.634186</v>
      </c>
      <c r="L149" s="260">
        <v>32.661156999999996</v>
      </c>
      <c r="M149" s="260">
        <v>32.687981999999998</v>
      </c>
      <c r="N149" s="260">
        <v>32.714666000000001</v>
      </c>
      <c r="O149" s="260">
        <v>32.741213000000002</v>
      </c>
      <c r="P149" s="260">
        <v>32.767626</v>
      </c>
      <c r="Q149" s="260">
        <v>32.793908000000002</v>
      </c>
      <c r="R149" s="260">
        <v>32.820059999999998</v>
      </c>
      <c r="S149" s="260">
        <v>32.846083</v>
      </c>
      <c r="T149" s="260">
        <v>32.871977000000001</v>
      </c>
      <c r="U149" s="260">
        <v>32.897745</v>
      </c>
      <c r="V149" s="260">
        <v>32.923384999999996</v>
      </c>
      <c r="W149" s="260">
        <v>32.948898</v>
      </c>
      <c r="X149" s="260">
        <v>32.974283999999997</v>
      </c>
      <c r="Y149" s="260">
        <v>32.999542999999996</v>
      </c>
      <c r="Z149" s="260">
        <v>33.024675000000002</v>
      </c>
      <c r="AA149" s="260">
        <v>33.049681999999997</v>
      </c>
      <c r="AB149" s="260">
        <v>33.074560999999996</v>
      </c>
      <c r="AC149" s="260">
        <v>33.099314999999997</v>
      </c>
      <c r="AD149" s="260">
        <v>33.123942999999997</v>
      </c>
      <c r="AE149" s="260">
        <v>33.148444999999995</v>
      </c>
      <c r="AF149" s="260">
        <v>33.172821999999996</v>
      </c>
      <c r="AG149" s="260">
        <v>33.197074000000001</v>
      </c>
      <c r="AH149" s="260">
        <v>33.221199999999996</v>
      </c>
      <c r="AI149" s="260">
        <v>33.245201000000002</v>
      </c>
      <c r="AJ149" s="260">
        <v>33.269078</v>
      </c>
      <c r="AK149" s="260">
        <v>33.292831</v>
      </c>
      <c r="AL149" s="260">
        <v>33.316459000000002</v>
      </c>
      <c r="AM149" s="260">
        <v>33.339964000000002</v>
      </c>
      <c r="AN149" s="260">
        <v>33.363344999999995</v>
      </c>
      <c r="AO149" s="260">
        <v>33.386601999999996</v>
      </c>
      <c r="AP149" s="260">
        <v>33.409737</v>
      </c>
      <c r="AQ149" s="260">
        <v>33.432747999999997</v>
      </c>
      <c r="AR149" s="260">
        <v>33.455636999999996</v>
      </c>
      <c r="AS149" s="260">
        <v>33.478403999999998</v>
      </c>
      <c r="AT149" s="260">
        <v>33.501047999999997</v>
      </c>
      <c r="AU149" s="260">
        <v>33.523570999999997</v>
      </c>
      <c r="AV149" s="260">
        <v>33.545972999999996</v>
      </c>
      <c r="AW149" s="260">
        <v>33.568252999999999</v>
      </c>
      <c r="AX149" s="260">
        <v>33.590412999999998</v>
      </c>
      <c r="AY149" s="260">
        <v>33.612451999999998</v>
      </c>
      <c r="AZ149" s="260">
        <v>33.634371000000002</v>
      </c>
      <c r="BA149" s="260">
        <v>33.656169999999996</v>
      </c>
      <c r="BB149" s="260">
        <v>33.677849999999999</v>
      </c>
      <c r="BC149" s="260">
        <v>33.69941</v>
      </c>
      <c r="BD149" s="260">
        <v>33.720852000000001</v>
      </c>
      <c r="BE149" s="260">
        <v>33.742174999999996</v>
      </c>
      <c r="BF149" s="260">
        <v>33.763379999999998</v>
      </c>
      <c r="BG149" s="260">
        <v>33.784466999999999</v>
      </c>
      <c r="BH149" s="260">
        <v>33.805436999999998</v>
      </c>
      <c r="BI149" s="260">
        <v>33.826288999999996</v>
      </c>
      <c r="BJ149" s="260">
        <v>33.847024999999995</v>
      </c>
      <c r="BK149" s="260">
        <v>33.867643999999999</v>
      </c>
      <c r="BL149" s="260">
        <v>33.888148000000001</v>
      </c>
      <c r="BM149" s="260">
        <v>33.908535000000001</v>
      </c>
      <c r="BN149" s="260">
        <v>33.928807999999997</v>
      </c>
      <c r="BO149" s="260">
        <v>33.948965000000001</v>
      </c>
      <c r="BP149" s="260">
        <v>33.969009</v>
      </c>
      <c r="BQ149" s="260">
        <v>33.988937999999997</v>
      </c>
      <c r="BR149" s="260">
        <v>34.008752999999999</v>
      </c>
      <c r="BS149" s="260">
        <v>34.028455000000001</v>
      </c>
      <c r="BT149" s="260">
        <v>34.048043999999997</v>
      </c>
      <c r="BU149" s="260">
        <v>34.067520000000002</v>
      </c>
      <c r="BV149" s="260">
        <v>34.086884999999995</v>
      </c>
      <c r="BW149" s="260">
        <v>34.106136999999997</v>
      </c>
      <c r="BX149" s="260">
        <v>34.125278999999999</v>
      </c>
      <c r="BY149" s="260">
        <v>34.144309</v>
      </c>
      <c r="BZ149" s="260">
        <v>34.163229000000001</v>
      </c>
      <c r="CA149" s="260">
        <v>34.182038999999996</v>
      </c>
      <c r="CB149" s="260">
        <v>34.200739999999996</v>
      </c>
      <c r="CC149" s="260">
        <v>34.219330999999997</v>
      </c>
      <c r="CD149" s="260">
        <v>34.237812999999996</v>
      </c>
      <c r="CE149" s="260">
        <v>34.256186999999997</v>
      </c>
      <c r="CF149" s="260">
        <v>34.274453000000001</v>
      </c>
      <c r="CG149" s="260">
        <v>34.292611999999998</v>
      </c>
      <c r="CH149" s="260">
        <v>34.310662999999998</v>
      </c>
    </row>
    <row r="150" spans="1:86" x14ac:dyDescent="0.25">
      <c r="A150" s="170">
        <v>2</v>
      </c>
      <c r="B150" s="170">
        <v>39</v>
      </c>
      <c r="C150" s="259">
        <v>32.41668701171875</v>
      </c>
      <c r="D150" s="259">
        <v>32.459514617919922</v>
      </c>
      <c r="E150" s="259">
        <v>32.501758575439453</v>
      </c>
      <c r="F150" s="259">
        <v>32.543422698974609</v>
      </c>
      <c r="G150" s="259">
        <v>32.584514617919922</v>
      </c>
      <c r="H150" s="259">
        <v>32.625045776367188</v>
      </c>
      <c r="I150" s="260">
        <v>32.211036</v>
      </c>
      <c r="J150" s="260">
        <v>32.238859999999995</v>
      </c>
      <c r="K150" s="260">
        <v>32.266514999999998</v>
      </c>
      <c r="L150" s="260">
        <v>32.29401</v>
      </c>
      <c r="M150" s="260">
        <v>32.321351999999997</v>
      </c>
      <c r="N150" s="260">
        <v>32.348545999999999</v>
      </c>
      <c r="O150" s="260">
        <v>32.375599999999999</v>
      </c>
      <c r="P150" s="260">
        <v>32.402515000000001</v>
      </c>
      <c r="Q150" s="260">
        <v>32.429296000000001</v>
      </c>
      <c r="R150" s="260">
        <v>32.455945</v>
      </c>
      <c r="S150" s="260">
        <v>32.482461999999998</v>
      </c>
      <c r="T150" s="260">
        <v>32.508849999999995</v>
      </c>
      <c r="U150" s="260">
        <v>32.535108999999999</v>
      </c>
      <c r="V150" s="260">
        <v>32.561239</v>
      </c>
      <c r="W150" s="260">
        <v>32.587240999999999</v>
      </c>
      <c r="X150" s="260">
        <v>32.613115000000001</v>
      </c>
      <c r="Y150" s="260">
        <v>32.638860000000001</v>
      </c>
      <c r="Z150" s="260">
        <v>32.664476999999998</v>
      </c>
      <c r="AA150" s="260">
        <v>32.689966999999996</v>
      </c>
      <c r="AB150" s="260">
        <v>32.715328999999997</v>
      </c>
      <c r="AC150" s="260">
        <v>32.740563000000002</v>
      </c>
      <c r="AD150" s="260">
        <v>32.76567</v>
      </c>
      <c r="AE150" s="260">
        <v>32.790649999999999</v>
      </c>
      <c r="AF150" s="260">
        <v>32.815501999999995</v>
      </c>
      <c r="AG150" s="260">
        <v>32.840227999999996</v>
      </c>
      <c r="AH150" s="260">
        <v>32.864827999999996</v>
      </c>
      <c r="AI150" s="260">
        <v>32.889300999999996</v>
      </c>
      <c r="AJ150" s="260">
        <v>32.913648000000002</v>
      </c>
      <c r="AK150" s="260">
        <v>32.937868999999999</v>
      </c>
      <c r="AL150" s="260">
        <v>32.961964000000002</v>
      </c>
      <c r="AM150" s="260">
        <v>32.985934</v>
      </c>
      <c r="AN150" s="260">
        <v>33.009779000000002</v>
      </c>
      <c r="AO150" s="260">
        <v>33.033498999999999</v>
      </c>
      <c r="AP150" s="260">
        <v>33.057093999999999</v>
      </c>
      <c r="AQ150" s="260">
        <v>33.080563999999995</v>
      </c>
      <c r="AR150" s="260">
        <v>33.103910999999997</v>
      </c>
      <c r="AS150" s="260">
        <v>33.127133000000001</v>
      </c>
      <c r="AT150" s="260">
        <v>33.150231999999995</v>
      </c>
      <c r="AU150" s="260">
        <v>33.173206999999998</v>
      </c>
      <c r="AV150" s="260">
        <v>33.196059999999996</v>
      </c>
      <c r="AW150" s="260">
        <v>33.218789000000001</v>
      </c>
      <c r="AX150" s="260">
        <v>33.241396999999999</v>
      </c>
      <c r="AY150" s="260">
        <v>33.263881999999995</v>
      </c>
      <c r="AZ150" s="260">
        <v>33.286245000000001</v>
      </c>
      <c r="BA150" s="260">
        <v>33.308487</v>
      </c>
      <c r="BB150" s="260">
        <v>33.330607000000001</v>
      </c>
      <c r="BC150" s="260">
        <v>33.352606999999999</v>
      </c>
      <c r="BD150" s="260">
        <v>33.374485999999997</v>
      </c>
      <c r="BE150" s="260">
        <v>33.396243999999996</v>
      </c>
      <c r="BF150" s="260">
        <v>33.417882999999996</v>
      </c>
      <c r="BG150" s="260">
        <v>33.439402999999999</v>
      </c>
      <c r="BH150" s="260">
        <v>33.460802999999999</v>
      </c>
      <c r="BI150" s="260">
        <v>33.482084</v>
      </c>
      <c r="BJ150" s="260">
        <v>33.503247000000002</v>
      </c>
      <c r="BK150" s="260">
        <v>33.524291999999996</v>
      </c>
      <c r="BL150" s="260">
        <v>33.545218999999996</v>
      </c>
      <c r="BM150" s="260">
        <v>33.566027999999996</v>
      </c>
      <c r="BN150" s="260">
        <v>33.586720999999997</v>
      </c>
      <c r="BO150" s="260">
        <v>33.607296999999996</v>
      </c>
      <c r="BP150" s="260">
        <v>33.627756999999995</v>
      </c>
      <c r="BQ150" s="260">
        <v>33.648099999999999</v>
      </c>
      <c r="BR150" s="260">
        <v>33.668329</v>
      </c>
      <c r="BS150" s="260">
        <v>33.688442000000002</v>
      </c>
      <c r="BT150" s="260">
        <v>33.708439999999996</v>
      </c>
      <c r="BU150" s="260">
        <v>33.728324999999998</v>
      </c>
      <c r="BV150" s="260">
        <v>33.748094999999999</v>
      </c>
      <c r="BW150" s="260">
        <v>33.767752000000002</v>
      </c>
      <c r="BX150" s="260">
        <v>33.787295999999998</v>
      </c>
      <c r="BY150" s="260">
        <v>33.806726999999995</v>
      </c>
      <c r="BZ150" s="260">
        <v>33.826045999999998</v>
      </c>
      <c r="CA150" s="260">
        <v>33.845253</v>
      </c>
      <c r="CB150" s="260">
        <v>33.864348</v>
      </c>
      <c r="CC150" s="260">
        <v>33.883333</v>
      </c>
      <c r="CD150" s="260">
        <v>33.902206999999997</v>
      </c>
      <c r="CE150" s="260">
        <v>33.920969999999997</v>
      </c>
      <c r="CF150" s="260">
        <v>33.939624000000002</v>
      </c>
      <c r="CG150" s="260">
        <v>33.958168999999998</v>
      </c>
      <c r="CH150" s="260">
        <v>33.976604999999999</v>
      </c>
    </row>
    <row r="151" spans="1:86" x14ac:dyDescent="0.25">
      <c r="A151" s="170">
        <v>2</v>
      </c>
      <c r="B151" s="170">
        <v>40</v>
      </c>
      <c r="C151" s="259">
        <v>32.021839141845703</v>
      </c>
      <c r="D151" s="259">
        <v>32.065788269042969</v>
      </c>
      <c r="E151" s="259">
        <v>32.109138488769531</v>
      </c>
      <c r="F151" s="259">
        <v>32.151897430419922</v>
      </c>
      <c r="G151" s="259">
        <v>32.194080352783203</v>
      </c>
      <c r="H151" s="259">
        <v>32.235687255859375</v>
      </c>
      <c r="I151" s="260">
        <v>31.834937</v>
      </c>
      <c r="J151" s="260">
        <v>31.863315999999998</v>
      </c>
      <c r="K151" s="260">
        <v>31.891514999999998</v>
      </c>
      <c r="L151" s="260">
        <v>31.919544999999999</v>
      </c>
      <c r="M151" s="260">
        <v>31.947412999999997</v>
      </c>
      <c r="N151" s="260">
        <v>31.975127999999998</v>
      </c>
      <c r="O151" s="260">
        <v>32.002696</v>
      </c>
      <c r="P151" s="260">
        <v>32.030121999999999</v>
      </c>
      <c r="Q151" s="260">
        <v>32.057409999999997</v>
      </c>
      <c r="R151" s="260">
        <v>32.084561999999998</v>
      </c>
      <c r="S151" s="260">
        <v>32.111581999999999</v>
      </c>
      <c r="T151" s="260">
        <v>32.138469999999998</v>
      </c>
      <c r="U151" s="260">
        <v>32.165227000000002</v>
      </c>
      <c r="V151" s="260">
        <v>32.191853999999999</v>
      </c>
      <c r="W151" s="260">
        <v>32.218351999999996</v>
      </c>
      <c r="X151" s="260">
        <v>32.244720000000001</v>
      </c>
      <c r="Y151" s="260">
        <v>32.270958999999998</v>
      </c>
      <c r="Z151" s="260">
        <v>32.297067999999996</v>
      </c>
      <c r="AA151" s="260">
        <v>32.323046999999995</v>
      </c>
      <c r="AB151" s="260">
        <v>32.348897999999998</v>
      </c>
      <c r="AC151" s="260">
        <v>32.37462</v>
      </c>
      <c r="AD151" s="260">
        <v>32.400213000000001</v>
      </c>
      <c r="AE151" s="260">
        <v>32.425677</v>
      </c>
      <c r="AF151" s="260">
        <v>32.451012999999996</v>
      </c>
      <c r="AG151" s="260">
        <v>32.476220999999995</v>
      </c>
      <c r="AH151" s="260">
        <v>32.501300999999998</v>
      </c>
      <c r="AI151" s="260">
        <v>32.526251999999999</v>
      </c>
      <c r="AJ151" s="260">
        <v>32.551076000000002</v>
      </c>
      <c r="AK151" s="260">
        <v>32.575772999999998</v>
      </c>
      <c r="AL151" s="260">
        <v>32.600341999999998</v>
      </c>
      <c r="AM151" s="260">
        <v>32.624784999999996</v>
      </c>
      <c r="AN151" s="260">
        <v>32.649099999999997</v>
      </c>
      <c r="AO151" s="260">
        <v>32.673290000000001</v>
      </c>
      <c r="AP151" s="260">
        <v>32.697351999999995</v>
      </c>
      <c r="AQ151" s="260">
        <v>32.721288999999999</v>
      </c>
      <c r="AR151" s="260">
        <v>32.745100000000001</v>
      </c>
      <c r="AS151" s="260">
        <v>32.768785999999999</v>
      </c>
      <c r="AT151" s="260">
        <v>32.792346000000002</v>
      </c>
      <c r="AU151" s="260">
        <v>32.815781000000001</v>
      </c>
      <c r="AV151" s="260">
        <v>32.839090999999996</v>
      </c>
      <c r="AW151" s="260">
        <v>32.862277999999996</v>
      </c>
      <c r="AX151" s="260">
        <v>32.885339999999999</v>
      </c>
      <c r="AY151" s="260">
        <v>32.908277999999996</v>
      </c>
      <c r="AZ151" s="260">
        <v>32.931092</v>
      </c>
      <c r="BA151" s="260">
        <v>32.953783999999999</v>
      </c>
      <c r="BB151" s="260">
        <v>32.976351999999999</v>
      </c>
      <c r="BC151" s="260">
        <v>32.998798000000001</v>
      </c>
      <c r="BD151" s="260">
        <v>33.021121999999998</v>
      </c>
      <c r="BE151" s="260">
        <v>33.043323000000001</v>
      </c>
      <c r="BF151" s="260">
        <v>33.065404000000001</v>
      </c>
      <c r="BG151" s="260">
        <v>33.087361999999999</v>
      </c>
      <c r="BH151" s="260">
        <v>33.109200000000001</v>
      </c>
      <c r="BI151" s="260">
        <v>33.130918000000001</v>
      </c>
      <c r="BJ151" s="260">
        <v>33.152515000000001</v>
      </c>
      <c r="BK151" s="260">
        <v>33.173991999999998</v>
      </c>
      <c r="BL151" s="260">
        <v>33.195349999999998</v>
      </c>
      <c r="BM151" s="260">
        <v>33.216588000000002</v>
      </c>
      <c r="BN151" s="260">
        <v>33.237707999999998</v>
      </c>
      <c r="BO151" s="260">
        <v>33.258708999999996</v>
      </c>
      <c r="BP151" s="260">
        <v>33.279592999999998</v>
      </c>
      <c r="BQ151" s="260">
        <v>33.300359</v>
      </c>
      <c r="BR151" s="260">
        <v>33.321007000000002</v>
      </c>
      <c r="BS151" s="260">
        <v>33.341538999999997</v>
      </c>
      <c r="BT151" s="260">
        <v>33.361953999999997</v>
      </c>
      <c r="BU151" s="260">
        <v>33.382252999999999</v>
      </c>
      <c r="BV151" s="260">
        <v>33.402436000000002</v>
      </c>
      <c r="BW151" s="260">
        <v>33.422503999999996</v>
      </c>
      <c r="BX151" s="260">
        <v>33.442456999999997</v>
      </c>
      <c r="BY151" s="260">
        <v>33.462295999999995</v>
      </c>
      <c r="BZ151" s="260">
        <v>33.482020999999996</v>
      </c>
      <c r="CA151" s="260">
        <v>33.501632000000001</v>
      </c>
      <c r="CB151" s="260">
        <v>33.521129000000002</v>
      </c>
      <c r="CC151" s="260">
        <v>33.540514000000002</v>
      </c>
      <c r="CD151" s="260">
        <v>33.559787</v>
      </c>
      <c r="CE151" s="260">
        <v>33.578947999999997</v>
      </c>
      <c r="CF151" s="260">
        <v>33.597996999999999</v>
      </c>
      <c r="CG151" s="260">
        <v>33.616934999999998</v>
      </c>
      <c r="CH151" s="260">
        <v>33.635762</v>
      </c>
    </row>
    <row r="152" spans="1:86" x14ac:dyDescent="0.25">
      <c r="A152" s="170">
        <v>2</v>
      </c>
      <c r="B152" s="170">
        <v>41</v>
      </c>
      <c r="C152" s="259">
        <v>31.619146347045898</v>
      </c>
      <c r="D152" s="259">
        <v>31.664243698120117</v>
      </c>
      <c r="E152" s="259">
        <v>31.708732604980469</v>
      </c>
      <c r="F152" s="259">
        <v>31.752620697021484</v>
      </c>
      <c r="G152" s="259">
        <v>31.795915603637695</v>
      </c>
      <c r="H152" s="259">
        <v>31.838628768920898</v>
      </c>
      <c r="I152" s="260">
        <v>31.451207</v>
      </c>
      <c r="J152" s="260">
        <v>31.480156999999998</v>
      </c>
      <c r="K152" s="260">
        <v>31.508913999999997</v>
      </c>
      <c r="L152" s="260">
        <v>31.537489999999998</v>
      </c>
      <c r="M152" s="260">
        <v>31.565897</v>
      </c>
      <c r="N152" s="260">
        <v>31.594142999999999</v>
      </c>
      <c r="O152" s="260">
        <v>31.622235</v>
      </c>
      <c r="P152" s="260">
        <v>31.650179999999999</v>
      </c>
      <c r="Q152" s="260">
        <v>31.677983999999999</v>
      </c>
      <c r="R152" s="260">
        <v>31.705648999999998</v>
      </c>
      <c r="S152" s="260">
        <v>31.733177999999999</v>
      </c>
      <c r="T152" s="260">
        <v>31.760573999999998</v>
      </c>
      <c r="U152" s="260">
        <v>31.787837999999997</v>
      </c>
      <c r="V152" s="260">
        <v>31.814971</v>
      </c>
      <c r="W152" s="260">
        <v>31.841971999999998</v>
      </c>
      <c r="X152" s="260">
        <v>31.868842999999998</v>
      </c>
      <c r="Y152" s="260">
        <v>31.895582999999998</v>
      </c>
      <c r="Z152" s="260">
        <v>31.922191999999999</v>
      </c>
      <c r="AA152" s="260">
        <v>31.94867</v>
      </c>
      <c r="AB152" s="260">
        <v>31.975017999999999</v>
      </c>
      <c r="AC152" s="260">
        <v>32.001235000000001</v>
      </c>
      <c r="AD152" s="260">
        <v>32.027321999999998</v>
      </c>
      <c r="AE152" s="260">
        <v>32.053278999999996</v>
      </c>
      <c r="AF152" s="260">
        <v>32.079107</v>
      </c>
      <c r="AG152" s="260">
        <v>32.104804000000001</v>
      </c>
      <c r="AH152" s="260">
        <v>32.130372000000001</v>
      </c>
      <c r="AI152" s="260">
        <v>32.155809999999995</v>
      </c>
      <c r="AJ152" s="260">
        <v>32.18112</v>
      </c>
      <c r="AK152" s="260">
        <v>32.206299999999999</v>
      </c>
      <c r="AL152" s="260">
        <v>32.231352000000001</v>
      </c>
      <c r="AM152" s="260">
        <v>32.256274999999995</v>
      </c>
      <c r="AN152" s="260">
        <v>32.28107</v>
      </c>
      <c r="AO152" s="260">
        <v>32.305735999999996</v>
      </c>
      <c r="AP152" s="260">
        <v>32.330275</v>
      </c>
      <c r="AQ152" s="260">
        <v>32.354686000000001</v>
      </c>
      <c r="AR152" s="260">
        <v>32.378969999999995</v>
      </c>
      <c r="AS152" s="260">
        <v>32.403126</v>
      </c>
      <c r="AT152" s="260">
        <v>32.427155999999997</v>
      </c>
      <c r="AU152" s="260">
        <v>32.451059000000001</v>
      </c>
      <c r="AV152" s="260">
        <v>32.474835999999996</v>
      </c>
      <c r="AW152" s="260">
        <v>32.498486999999997</v>
      </c>
      <c r="AX152" s="260">
        <v>32.522010999999999</v>
      </c>
      <c r="AY152" s="260">
        <v>32.545411000000001</v>
      </c>
      <c r="AZ152" s="260">
        <v>32.568684999999995</v>
      </c>
      <c r="BA152" s="260">
        <v>32.591833999999999</v>
      </c>
      <c r="BB152" s="260">
        <v>32.614858999999996</v>
      </c>
      <c r="BC152" s="260">
        <v>32.637758999999996</v>
      </c>
      <c r="BD152" s="260">
        <v>32.660534999999996</v>
      </c>
      <c r="BE152" s="260">
        <v>32.683188000000001</v>
      </c>
      <c r="BF152" s="260">
        <v>32.705717999999997</v>
      </c>
      <c r="BG152" s="260">
        <v>32.728124000000001</v>
      </c>
      <c r="BH152" s="260">
        <v>32.750408</v>
      </c>
      <c r="BI152" s="260">
        <v>32.772568999999997</v>
      </c>
      <c r="BJ152" s="260">
        <v>32.794607999999997</v>
      </c>
      <c r="BK152" s="260">
        <v>32.816525999999996</v>
      </c>
      <c r="BL152" s="260">
        <v>32.838322999999995</v>
      </c>
      <c r="BM152" s="260">
        <v>32.859997999999997</v>
      </c>
      <c r="BN152" s="260">
        <v>32.881552999999997</v>
      </c>
      <c r="BO152" s="260">
        <v>32.902988000000001</v>
      </c>
      <c r="BP152" s="260">
        <v>32.924303000000002</v>
      </c>
      <c r="BQ152" s="260">
        <v>32.945498999999998</v>
      </c>
      <c r="BR152" s="260">
        <v>32.966574999999999</v>
      </c>
      <c r="BS152" s="260">
        <v>32.987532999999999</v>
      </c>
      <c r="BT152" s="260">
        <v>33.008372999999999</v>
      </c>
      <c r="BU152" s="260">
        <v>33.029094000000001</v>
      </c>
      <c r="BV152" s="260">
        <v>33.049697999999999</v>
      </c>
      <c r="BW152" s="260">
        <v>33.070186</v>
      </c>
      <c r="BX152" s="260">
        <v>33.090555999999999</v>
      </c>
      <c r="BY152" s="260">
        <v>33.110810000000001</v>
      </c>
      <c r="BZ152" s="260">
        <v>33.130947999999997</v>
      </c>
      <c r="CA152" s="260">
        <v>33.150970999999998</v>
      </c>
      <c r="CB152" s="260">
        <v>33.170878999999999</v>
      </c>
      <c r="CC152" s="260">
        <v>33.190671999999999</v>
      </c>
      <c r="CD152" s="260">
        <v>33.210350999999996</v>
      </c>
      <c r="CE152" s="260">
        <v>33.229915999999996</v>
      </c>
      <c r="CF152" s="260">
        <v>33.249367999999997</v>
      </c>
      <c r="CG152" s="260">
        <v>33.268706000000002</v>
      </c>
      <c r="CH152" s="260">
        <v>33.287932999999995</v>
      </c>
    </row>
    <row r="153" spans="1:86" x14ac:dyDescent="0.25">
      <c r="A153" s="170">
        <v>2</v>
      </c>
      <c r="B153" s="170">
        <v>42</v>
      </c>
      <c r="C153" s="259">
        <v>31.208339691162109</v>
      </c>
      <c r="D153" s="259">
        <v>31.25459098815918</v>
      </c>
      <c r="E153" s="259">
        <v>31.300222396850586</v>
      </c>
      <c r="F153" s="259">
        <v>31.345245361328125</v>
      </c>
      <c r="G153" s="259">
        <v>31.389663696289063</v>
      </c>
      <c r="H153" s="259">
        <v>31.433488845825195</v>
      </c>
      <c r="I153" s="260">
        <v>31.059874999999998</v>
      </c>
      <c r="J153" s="260">
        <v>31.089407999999999</v>
      </c>
      <c r="K153" s="260">
        <v>31.118734</v>
      </c>
      <c r="L153" s="260">
        <v>31.147869</v>
      </c>
      <c r="M153" s="260">
        <v>31.176824</v>
      </c>
      <c r="N153" s="260">
        <v>31.205608999999999</v>
      </c>
      <c r="O153" s="260">
        <v>31.234233999999997</v>
      </c>
      <c r="P153" s="260">
        <v>31.262706999999999</v>
      </c>
      <c r="Q153" s="260">
        <v>31.291032999999999</v>
      </c>
      <c r="R153" s="260">
        <v>31.319216999999998</v>
      </c>
      <c r="S153" s="260">
        <v>31.347263999999999</v>
      </c>
      <c r="T153" s="260">
        <v>31.375174999999999</v>
      </c>
      <c r="U153" s="260">
        <v>31.402951999999999</v>
      </c>
      <c r="V153" s="260">
        <v>31.430596999999999</v>
      </c>
      <c r="W153" s="260">
        <v>31.458109</v>
      </c>
      <c r="X153" s="260">
        <v>31.485488999999998</v>
      </c>
      <c r="Y153" s="260">
        <v>31.512736</v>
      </c>
      <c r="Z153" s="260">
        <v>31.539852</v>
      </c>
      <c r="AA153" s="260">
        <v>31.566834999999998</v>
      </c>
      <c r="AB153" s="260">
        <v>31.593686999999999</v>
      </c>
      <c r="AC153" s="260">
        <v>31.620407</v>
      </c>
      <c r="AD153" s="260">
        <v>31.646994999999997</v>
      </c>
      <c r="AE153" s="260">
        <v>31.673451999999997</v>
      </c>
      <c r="AF153" s="260">
        <v>31.699776999999997</v>
      </c>
      <c r="AG153" s="260">
        <v>31.725971999999999</v>
      </c>
      <c r="AH153" s="260">
        <v>31.752034999999999</v>
      </c>
      <c r="AI153" s="260">
        <v>31.777967</v>
      </c>
      <c r="AJ153" s="260">
        <v>31.803768999999999</v>
      </c>
      <c r="AK153" s="260">
        <v>31.829439999999998</v>
      </c>
      <c r="AL153" s="260">
        <v>31.854980999999999</v>
      </c>
      <c r="AM153" s="260">
        <v>31.880390999999999</v>
      </c>
      <c r="AN153" s="260">
        <v>31.905671999999999</v>
      </c>
      <c r="AO153" s="260">
        <v>31.930823999999998</v>
      </c>
      <c r="AP153" s="260">
        <v>31.955845</v>
      </c>
      <c r="AQ153" s="260">
        <v>31.980737999999999</v>
      </c>
      <c r="AR153" s="260">
        <v>32.005500999999995</v>
      </c>
      <c r="AS153" s="260">
        <v>32.030135999999999</v>
      </c>
      <c r="AT153" s="260">
        <v>32.054642000000001</v>
      </c>
      <c r="AU153" s="260">
        <v>32.07902</v>
      </c>
      <c r="AV153" s="260">
        <v>32.103270000000002</v>
      </c>
      <c r="AW153" s="260">
        <v>32.127392999999998</v>
      </c>
      <c r="AX153" s="260">
        <v>32.151387999999997</v>
      </c>
      <c r="AY153" s="260">
        <v>32.175255</v>
      </c>
      <c r="AZ153" s="260">
        <v>32.198996000000001</v>
      </c>
      <c r="BA153" s="260">
        <v>32.222609999999996</v>
      </c>
      <c r="BB153" s="260">
        <v>32.246097999999996</v>
      </c>
      <c r="BC153" s="260">
        <v>32.269459999999995</v>
      </c>
      <c r="BD153" s="260">
        <v>32.292695999999999</v>
      </c>
      <c r="BE153" s="260">
        <v>32.315807</v>
      </c>
      <c r="BF153" s="260">
        <v>32.338792999999995</v>
      </c>
      <c r="BG153" s="260">
        <v>32.361654000000001</v>
      </c>
      <c r="BH153" s="260">
        <v>32.384389999999996</v>
      </c>
      <c r="BI153" s="260">
        <v>32.407002999999996</v>
      </c>
      <c r="BJ153" s="260">
        <v>32.429491999999996</v>
      </c>
      <c r="BK153" s="260">
        <v>32.451856999999997</v>
      </c>
      <c r="BL153" s="260">
        <v>32.4741</v>
      </c>
      <c r="BM153" s="260">
        <v>32.496218999999996</v>
      </c>
      <c r="BN153" s="260">
        <v>32.518217</v>
      </c>
      <c r="BO153" s="260">
        <v>32.540092000000001</v>
      </c>
      <c r="BP153" s="260">
        <v>32.561845999999996</v>
      </c>
      <c r="BQ153" s="260">
        <v>32.583477999999999</v>
      </c>
      <c r="BR153" s="260">
        <v>32.604990000000001</v>
      </c>
      <c r="BS153" s="260">
        <v>32.626381000000002</v>
      </c>
      <c r="BT153" s="260">
        <v>32.647652000000001</v>
      </c>
      <c r="BU153" s="260">
        <v>32.668804000000002</v>
      </c>
      <c r="BV153" s="260">
        <v>32.689836</v>
      </c>
      <c r="BW153" s="260">
        <v>32.710749</v>
      </c>
      <c r="BX153" s="260">
        <v>32.731544</v>
      </c>
      <c r="BY153" s="260">
        <v>32.752220000000001</v>
      </c>
      <c r="BZ153" s="260">
        <v>32.772779</v>
      </c>
      <c r="CA153" s="260">
        <v>32.793220999999996</v>
      </c>
      <c r="CB153" s="260">
        <v>32.813545999999995</v>
      </c>
      <c r="CC153" s="260">
        <v>32.833753999999999</v>
      </c>
      <c r="CD153" s="260">
        <v>32.853845999999997</v>
      </c>
      <c r="CE153" s="260">
        <v>32.873823000000002</v>
      </c>
      <c r="CF153" s="260">
        <v>32.893684</v>
      </c>
      <c r="CG153" s="260">
        <v>32.913430999999996</v>
      </c>
      <c r="CH153" s="260">
        <v>32.933062999999997</v>
      </c>
    </row>
    <row r="154" spans="1:86" x14ac:dyDescent="0.25">
      <c r="A154" s="170">
        <v>2</v>
      </c>
      <c r="B154" s="170">
        <v>43</v>
      </c>
      <c r="C154" s="259">
        <v>30.789335250854492</v>
      </c>
      <c r="D154" s="259">
        <v>30.83674430847168</v>
      </c>
      <c r="E154" s="259">
        <v>30.883525848388672</v>
      </c>
      <c r="F154" s="259">
        <v>30.929685592651367</v>
      </c>
      <c r="G154" s="259">
        <v>30.975231170654297</v>
      </c>
      <c r="H154" s="259">
        <v>31.020174026489258</v>
      </c>
      <c r="I154" s="260">
        <v>30.660926999999997</v>
      </c>
      <c r="J154" s="260">
        <v>30.691053999999998</v>
      </c>
      <c r="K154" s="260">
        <v>30.720960999999999</v>
      </c>
      <c r="L154" s="260">
        <v>30.750662999999999</v>
      </c>
      <c r="M154" s="260">
        <v>30.780173999999999</v>
      </c>
      <c r="N154" s="260">
        <v>30.809505999999999</v>
      </c>
      <c r="O154" s="260">
        <v>30.838671999999999</v>
      </c>
      <c r="P154" s="260">
        <v>30.867677999999998</v>
      </c>
      <c r="Q154" s="260">
        <v>30.896532999999998</v>
      </c>
      <c r="R154" s="260">
        <v>30.925242999999998</v>
      </c>
      <c r="S154" s="260">
        <v>30.953811999999999</v>
      </c>
      <c r="T154" s="260">
        <v>30.982243999999998</v>
      </c>
      <c r="U154" s="260">
        <v>31.010539999999999</v>
      </c>
      <c r="V154" s="260">
        <v>31.038701999999997</v>
      </c>
      <c r="W154" s="260">
        <v>31.066730999999997</v>
      </c>
      <c r="X154" s="260">
        <v>31.094625999999998</v>
      </c>
      <c r="Y154" s="260">
        <v>31.122387</v>
      </c>
      <c r="Z154" s="260">
        <v>31.150015</v>
      </c>
      <c r="AA154" s="260">
        <v>31.177509999999998</v>
      </c>
      <c r="AB154" s="260">
        <v>31.204870999999997</v>
      </c>
      <c r="AC154" s="260">
        <v>31.232099999999999</v>
      </c>
      <c r="AD154" s="260">
        <v>31.259194999999998</v>
      </c>
      <c r="AE154" s="260">
        <v>31.286156999999999</v>
      </c>
      <c r="AF154" s="260">
        <v>31.312987</v>
      </c>
      <c r="AG154" s="260">
        <v>31.339683999999998</v>
      </c>
      <c r="AH154" s="260">
        <v>31.366247999999999</v>
      </c>
      <c r="AI154" s="260">
        <v>31.392679999999999</v>
      </c>
      <c r="AJ154" s="260">
        <v>31.418979999999998</v>
      </c>
      <c r="AK154" s="260">
        <v>31.445148999999997</v>
      </c>
      <c r="AL154" s="260">
        <v>31.471184999999998</v>
      </c>
      <c r="AM154" s="260">
        <v>31.497088999999999</v>
      </c>
      <c r="AN154" s="260">
        <v>31.522862999999997</v>
      </c>
      <c r="AO154" s="260">
        <v>31.548504999999999</v>
      </c>
      <c r="AP154" s="260">
        <v>31.574016</v>
      </c>
      <c r="AQ154" s="260">
        <v>31.599395999999999</v>
      </c>
      <c r="AR154" s="260">
        <v>31.624644999999997</v>
      </c>
      <c r="AS154" s="260">
        <v>31.649764999999999</v>
      </c>
      <c r="AT154" s="260">
        <v>31.674754</v>
      </c>
      <c r="AU154" s="260">
        <v>31.699612999999999</v>
      </c>
      <c r="AV154" s="260">
        <v>31.724342999999998</v>
      </c>
      <c r="AW154" s="260">
        <v>31.748942999999997</v>
      </c>
      <c r="AX154" s="260">
        <v>31.773413999999999</v>
      </c>
      <c r="AY154" s="260">
        <v>31.797756999999997</v>
      </c>
      <c r="AZ154" s="260">
        <v>31.82197</v>
      </c>
      <c r="BA154" s="260">
        <v>31.846055999999997</v>
      </c>
      <c r="BB154" s="260">
        <v>31.870013</v>
      </c>
      <c r="BC154" s="260">
        <v>31.893842999999997</v>
      </c>
      <c r="BD154" s="260">
        <v>31.917545999999998</v>
      </c>
      <c r="BE154" s="260">
        <v>31.941120999999999</v>
      </c>
      <c r="BF154" s="260">
        <v>31.964569999999998</v>
      </c>
      <c r="BG154" s="260">
        <v>31.987891999999999</v>
      </c>
      <c r="BH154" s="260">
        <v>32.011088000000001</v>
      </c>
      <c r="BI154" s="260">
        <v>32.034157999999998</v>
      </c>
      <c r="BJ154" s="260">
        <v>32.057102999999998</v>
      </c>
      <c r="BK154" s="260">
        <v>32.079921999999996</v>
      </c>
      <c r="BL154" s="260">
        <v>32.102616999999995</v>
      </c>
      <c r="BM154" s="260">
        <v>32.125186999999997</v>
      </c>
      <c r="BN154" s="260">
        <v>32.147633999999996</v>
      </c>
      <c r="BO154" s="260">
        <v>32.169955999999999</v>
      </c>
      <c r="BP154" s="260">
        <v>32.192155</v>
      </c>
      <c r="BQ154" s="260">
        <v>32.214230999999998</v>
      </c>
      <c r="BR154" s="260">
        <v>32.236184000000002</v>
      </c>
      <c r="BS154" s="260">
        <v>32.258015</v>
      </c>
      <c r="BT154" s="260">
        <v>32.279724999999999</v>
      </c>
      <c r="BU154" s="260">
        <v>32.301311999999996</v>
      </c>
      <c r="BV154" s="260">
        <v>32.322778999999997</v>
      </c>
      <c r="BW154" s="260">
        <v>32.344124999999998</v>
      </c>
      <c r="BX154" s="260">
        <v>32.365349999999999</v>
      </c>
      <c r="BY154" s="260">
        <v>32.386455999999995</v>
      </c>
      <c r="BZ154" s="260">
        <v>32.407441999999996</v>
      </c>
      <c r="CA154" s="260">
        <v>32.428308999999999</v>
      </c>
      <c r="CB154" s="260">
        <v>32.449056999999996</v>
      </c>
      <c r="CC154" s="260">
        <v>32.469687</v>
      </c>
      <c r="CD154" s="260">
        <v>32.490198999999997</v>
      </c>
      <c r="CE154" s="260">
        <v>32.510593</v>
      </c>
      <c r="CF154" s="260">
        <v>32.53087</v>
      </c>
      <c r="CG154" s="260">
        <v>32.551031000000002</v>
      </c>
      <c r="CH154" s="260">
        <v>32.571075999999998</v>
      </c>
    </row>
    <row r="155" spans="1:86" x14ac:dyDescent="0.25">
      <c r="A155" s="170">
        <v>2</v>
      </c>
      <c r="B155" s="170">
        <v>44</v>
      </c>
      <c r="C155" s="259">
        <v>30.36204719543457</v>
      </c>
      <c r="D155" s="259">
        <v>30.410617828369141</v>
      </c>
      <c r="E155" s="259">
        <v>30.458549499511719</v>
      </c>
      <c r="F155" s="259">
        <v>30.505847930908203</v>
      </c>
      <c r="G155" s="259">
        <v>30.552524566650391</v>
      </c>
      <c r="H155" s="259">
        <v>30.598587036132813</v>
      </c>
      <c r="I155" s="260">
        <v>30.254187999999999</v>
      </c>
      <c r="J155" s="260">
        <v>30.284920999999997</v>
      </c>
      <c r="K155" s="260">
        <v>30.315417999999998</v>
      </c>
      <c r="L155" s="260">
        <v>30.345696</v>
      </c>
      <c r="M155" s="260">
        <v>30.375771999999998</v>
      </c>
      <c r="N155" s="260">
        <v>30.405659999999997</v>
      </c>
      <c r="O155" s="260">
        <v>30.435372999999998</v>
      </c>
      <c r="P155" s="260">
        <v>30.464919999999999</v>
      </c>
      <c r="Q155" s="260">
        <v>30.494311</v>
      </c>
      <c r="R155" s="260">
        <v>30.523551999999999</v>
      </c>
      <c r="S155" s="260">
        <v>30.55265</v>
      </c>
      <c r="T155" s="260">
        <v>30.581607999999999</v>
      </c>
      <c r="U155" s="260">
        <v>30.610429999999997</v>
      </c>
      <c r="V155" s="260">
        <v>30.639115</v>
      </c>
      <c r="W155" s="260">
        <v>30.667665999999997</v>
      </c>
      <c r="X155" s="260">
        <v>30.696081999999997</v>
      </c>
      <c r="Y155" s="260">
        <v>30.724363999999998</v>
      </c>
      <c r="Z155" s="260">
        <v>30.752509999999997</v>
      </c>
      <c r="AA155" s="260">
        <v>30.780521999999998</v>
      </c>
      <c r="AB155" s="260">
        <v>30.808399999999999</v>
      </c>
      <c r="AC155" s="260">
        <v>30.836141999999999</v>
      </c>
      <c r="AD155" s="260">
        <v>30.863750999999997</v>
      </c>
      <c r="AE155" s="260">
        <v>30.891224999999999</v>
      </c>
      <c r="AF155" s="260">
        <v>30.918564999999997</v>
      </c>
      <c r="AG155" s="260">
        <v>30.945770999999997</v>
      </c>
      <c r="AH155" s="260">
        <v>30.972842999999997</v>
      </c>
      <c r="AI155" s="260">
        <v>30.999782</v>
      </c>
      <c r="AJ155" s="260">
        <v>31.026586999999999</v>
      </c>
      <c r="AK155" s="260">
        <v>31.053258</v>
      </c>
      <c r="AL155" s="260">
        <v>31.079795999999998</v>
      </c>
      <c r="AM155" s="260">
        <v>31.106200999999999</v>
      </c>
      <c r="AN155" s="260">
        <v>31.132472999999997</v>
      </c>
      <c r="AO155" s="260">
        <v>31.158611999999998</v>
      </c>
      <c r="AP155" s="260">
        <v>31.184618999999998</v>
      </c>
      <c r="AQ155" s="260">
        <v>31.210493</v>
      </c>
      <c r="AR155" s="260">
        <v>31.236234999999997</v>
      </c>
      <c r="AS155" s="260">
        <v>31.261845999999998</v>
      </c>
      <c r="AT155" s="260">
        <v>31.287323999999998</v>
      </c>
      <c r="AU155" s="260">
        <v>31.312670999999998</v>
      </c>
      <c r="AV155" s="260">
        <v>31.337886999999998</v>
      </c>
      <c r="AW155" s="260">
        <v>31.362971999999999</v>
      </c>
      <c r="AX155" s="260">
        <v>31.387926</v>
      </c>
      <c r="AY155" s="260">
        <v>31.412749999999999</v>
      </c>
      <c r="AZ155" s="260">
        <v>31.437443999999999</v>
      </c>
      <c r="BA155" s="260">
        <v>31.462007</v>
      </c>
      <c r="BB155" s="260">
        <v>31.486440999999999</v>
      </c>
      <c r="BC155" s="260">
        <v>31.510745999999997</v>
      </c>
      <c r="BD155" s="260">
        <v>31.534920999999997</v>
      </c>
      <c r="BE155" s="260">
        <v>31.558968</v>
      </c>
      <c r="BF155" s="260">
        <v>31.582885999999998</v>
      </c>
      <c r="BG155" s="260">
        <v>31.606676</v>
      </c>
      <c r="BH155" s="260">
        <v>31.630337999999998</v>
      </c>
      <c r="BI155" s="260">
        <v>31.653872</v>
      </c>
      <c r="BJ155" s="260">
        <v>31.67728</v>
      </c>
      <c r="BK155" s="260">
        <v>31.700559999999999</v>
      </c>
      <c r="BL155" s="260">
        <v>31.723713999999998</v>
      </c>
      <c r="BM155" s="260">
        <v>31.746741</v>
      </c>
      <c r="BN155" s="260">
        <v>31.769642999999999</v>
      </c>
      <c r="BO155" s="260">
        <v>31.792418999999999</v>
      </c>
      <c r="BP155" s="260">
        <v>31.815069999999999</v>
      </c>
      <c r="BQ155" s="260">
        <v>31.837595999999998</v>
      </c>
      <c r="BR155" s="260">
        <v>31.859997999999997</v>
      </c>
      <c r="BS155" s="260">
        <v>31.882275999999997</v>
      </c>
      <c r="BT155" s="260">
        <v>31.904429999999998</v>
      </c>
      <c r="BU155" s="260">
        <v>31.926459999999999</v>
      </c>
      <c r="BV155" s="260">
        <v>31.948367999999999</v>
      </c>
      <c r="BW155" s="260">
        <v>31.970153</v>
      </c>
      <c r="BX155" s="260">
        <v>31.991816</v>
      </c>
      <c r="BY155" s="260">
        <v>32.013357999999997</v>
      </c>
      <c r="BZ155" s="260">
        <v>32.034776999999998</v>
      </c>
      <c r="CA155" s="260">
        <v>32.056075999999997</v>
      </c>
      <c r="CB155" s="260">
        <v>32.077255000000001</v>
      </c>
      <c r="CC155" s="260">
        <v>32.098312999999997</v>
      </c>
      <c r="CD155" s="260">
        <v>32.119250999999998</v>
      </c>
      <c r="CE155" s="260">
        <v>32.140070000000001</v>
      </c>
      <c r="CF155" s="260">
        <v>32.160770999999997</v>
      </c>
      <c r="CG155" s="260">
        <v>32.181351999999997</v>
      </c>
      <c r="CH155" s="260">
        <v>32.201816000000001</v>
      </c>
    </row>
    <row r="156" spans="1:86" x14ac:dyDescent="0.25">
      <c r="A156" s="170">
        <v>2</v>
      </c>
      <c r="B156" s="170">
        <v>45</v>
      </c>
      <c r="C156" s="259">
        <v>29.926414489746094</v>
      </c>
      <c r="D156" s="259">
        <v>29.976142883300781</v>
      </c>
      <c r="E156" s="259">
        <v>30.02522087097168</v>
      </c>
      <c r="F156" s="259">
        <v>30.073659896850586</v>
      </c>
      <c r="G156" s="259">
        <v>30.121465682983398</v>
      </c>
      <c r="H156" s="259">
        <v>30.168649673461914</v>
      </c>
      <c r="I156" s="260">
        <v>29.839659999999999</v>
      </c>
      <c r="J156" s="260">
        <v>29.871006999999999</v>
      </c>
      <c r="K156" s="260">
        <v>29.902101999999999</v>
      </c>
      <c r="L156" s="260">
        <v>29.932964999999999</v>
      </c>
      <c r="M156" s="260">
        <v>29.963612999999999</v>
      </c>
      <c r="N156" s="260">
        <v>29.994062999999997</v>
      </c>
      <c r="O156" s="260">
        <v>30.024328999999998</v>
      </c>
      <c r="P156" s="260">
        <v>30.054421999999999</v>
      </c>
      <c r="Q156" s="260">
        <v>30.084353999999998</v>
      </c>
      <c r="R156" s="260">
        <v>30.114131999999998</v>
      </c>
      <c r="S156" s="260">
        <v>30.143763999999997</v>
      </c>
      <c r="T156" s="260">
        <v>30.173252999999999</v>
      </c>
      <c r="U156" s="260">
        <v>30.202603999999997</v>
      </c>
      <c r="V156" s="260">
        <v>30.231817999999997</v>
      </c>
      <c r="W156" s="260">
        <v>30.260897</v>
      </c>
      <c r="X156" s="260">
        <v>30.289838999999997</v>
      </c>
      <c r="Y156" s="260">
        <v>30.318645</v>
      </c>
      <c r="Z156" s="260">
        <v>30.347314999999998</v>
      </c>
      <c r="AA156" s="260">
        <v>30.375848999999999</v>
      </c>
      <c r="AB156" s="260">
        <v>30.404247999999999</v>
      </c>
      <c r="AC156" s="260">
        <v>30.432509999999997</v>
      </c>
      <c r="AD156" s="260">
        <v>30.460636999999998</v>
      </c>
      <c r="AE156" s="260">
        <v>30.488627999999999</v>
      </c>
      <c r="AF156" s="260">
        <v>30.516483999999998</v>
      </c>
      <c r="AG156" s="260">
        <v>30.544203999999997</v>
      </c>
      <c r="AH156" s="260">
        <v>30.57179</v>
      </c>
      <c r="AI156" s="260">
        <v>30.599238999999997</v>
      </c>
      <c r="AJ156" s="260">
        <v>30.626553999999999</v>
      </c>
      <c r="AK156" s="260">
        <v>30.653734</v>
      </c>
      <c r="AL156" s="260">
        <v>30.680779999999999</v>
      </c>
      <c r="AM156" s="260">
        <v>30.707689999999999</v>
      </c>
      <c r="AN156" s="260">
        <v>30.734466999999999</v>
      </c>
      <c r="AO156" s="260">
        <v>30.761108999999998</v>
      </c>
      <c r="AP156" s="260">
        <v>30.787616999999997</v>
      </c>
      <c r="AQ156" s="260">
        <v>30.813990999999998</v>
      </c>
      <c r="AR156" s="260">
        <v>30.840230999999999</v>
      </c>
      <c r="AS156" s="260">
        <v>30.866337999999999</v>
      </c>
      <c r="AT156" s="260">
        <v>30.892311999999997</v>
      </c>
      <c r="AU156" s="260">
        <v>30.918153</v>
      </c>
      <c r="AV156" s="260">
        <v>30.943859999999997</v>
      </c>
      <c r="AW156" s="260">
        <v>30.969435999999998</v>
      </c>
      <c r="AX156" s="260">
        <v>30.994878999999997</v>
      </c>
      <c r="AY156" s="260">
        <v>31.020188999999998</v>
      </c>
      <c r="AZ156" s="260">
        <v>31.045368</v>
      </c>
      <c r="BA156" s="260">
        <v>31.070415999999998</v>
      </c>
      <c r="BB156" s="260">
        <v>31.095331999999999</v>
      </c>
      <c r="BC156" s="260">
        <v>31.120116999999997</v>
      </c>
      <c r="BD156" s="260">
        <v>31.144770999999999</v>
      </c>
      <c r="BE156" s="260">
        <v>31.169294999999998</v>
      </c>
      <c r="BF156" s="260">
        <v>31.193687999999998</v>
      </c>
      <c r="BG156" s="260">
        <v>31.217951999999997</v>
      </c>
      <c r="BH156" s="260">
        <v>31.242085999999997</v>
      </c>
      <c r="BI156" s="260">
        <v>31.266090999999999</v>
      </c>
      <c r="BJ156" s="260">
        <v>31.289966</v>
      </c>
      <c r="BK156" s="260">
        <v>31.313713999999997</v>
      </c>
      <c r="BL156" s="260">
        <v>31.337332</v>
      </c>
      <c r="BM156" s="260">
        <v>31.360823</v>
      </c>
      <c r="BN156" s="260">
        <v>31.384186999999997</v>
      </c>
      <c r="BO156" s="260">
        <v>31.407422999999998</v>
      </c>
      <c r="BP156" s="260">
        <v>31.430531999999999</v>
      </c>
      <c r="BQ156" s="260">
        <v>31.453513999999998</v>
      </c>
      <c r="BR156" s="260">
        <v>31.476369999999999</v>
      </c>
      <c r="BS156" s="260">
        <v>31.499099999999999</v>
      </c>
      <c r="BT156" s="260">
        <v>31.521704999999997</v>
      </c>
      <c r="BU156" s="260">
        <v>31.544184999999999</v>
      </c>
      <c r="BV156" s="260">
        <v>31.56654</v>
      </c>
      <c r="BW156" s="260">
        <v>31.58877</v>
      </c>
      <c r="BX156" s="260">
        <v>31.610876999999999</v>
      </c>
      <c r="BY156" s="260">
        <v>31.632859999999997</v>
      </c>
      <c r="BZ156" s="260">
        <v>31.654719999999998</v>
      </c>
      <c r="CA156" s="260">
        <v>31.676456999999999</v>
      </c>
      <c r="CB156" s="260">
        <v>31.698070999999999</v>
      </c>
      <c r="CC156" s="260">
        <v>31.719563999999998</v>
      </c>
      <c r="CD156" s="260">
        <v>31.740934999999997</v>
      </c>
      <c r="CE156" s="260">
        <v>31.762183999999998</v>
      </c>
      <c r="CF156" s="260">
        <v>31.783313999999997</v>
      </c>
      <c r="CG156" s="260">
        <v>31.804321999999999</v>
      </c>
      <c r="CH156" s="260">
        <v>31.825210999999999</v>
      </c>
    </row>
    <row r="157" spans="1:86" x14ac:dyDescent="0.25">
      <c r="A157" s="170">
        <v>2</v>
      </c>
      <c r="B157" s="170">
        <v>46</v>
      </c>
      <c r="C157" s="259">
        <v>29.482860565185547</v>
      </c>
      <c r="D157" s="259">
        <v>29.53380012512207</v>
      </c>
      <c r="E157" s="259">
        <v>29.584079742431641</v>
      </c>
      <c r="F157" s="259">
        <v>29.633707046508789</v>
      </c>
      <c r="G157" s="259">
        <v>29.68269157409668</v>
      </c>
      <c r="H157" s="259">
        <v>29.731039047241211</v>
      </c>
      <c r="I157" s="260">
        <v>29.417313</v>
      </c>
      <c r="J157" s="260">
        <v>29.449282999999998</v>
      </c>
      <c r="K157" s="260">
        <v>29.480982999999998</v>
      </c>
      <c r="L157" s="260">
        <v>29.512435999999997</v>
      </c>
      <c r="M157" s="260">
        <v>29.543661999999998</v>
      </c>
      <c r="N157" s="260">
        <v>29.574677999999999</v>
      </c>
      <c r="O157" s="260">
        <v>29.605501999999998</v>
      </c>
      <c r="P157" s="260">
        <v>29.636146</v>
      </c>
      <c r="Q157" s="260">
        <v>29.666622999999998</v>
      </c>
      <c r="R157" s="260">
        <v>29.696942</v>
      </c>
      <c r="S157" s="260">
        <v>29.727110999999997</v>
      </c>
      <c r="T157" s="260">
        <v>29.757134999999998</v>
      </c>
      <c r="U157" s="260">
        <v>29.787019999999998</v>
      </c>
      <c r="V157" s="260">
        <v>29.816766999999999</v>
      </c>
      <c r="W157" s="260">
        <v>29.846375999999999</v>
      </c>
      <c r="X157" s="260">
        <v>29.875847999999998</v>
      </c>
      <c r="Y157" s="260">
        <v>29.905182999999997</v>
      </c>
      <c r="Z157" s="260">
        <v>29.934380999999998</v>
      </c>
      <c r="AA157" s="260">
        <v>29.963441999999997</v>
      </c>
      <c r="AB157" s="260">
        <v>29.992364999999999</v>
      </c>
      <c r="AC157" s="260">
        <v>30.021151999999997</v>
      </c>
      <c r="AD157" s="260">
        <v>30.049800999999999</v>
      </c>
      <c r="AE157" s="260">
        <v>30.078313999999999</v>
      </c>
      <c r="AF157" s="260">
        <v>30.10669</v>
      </c>
      <c r="AG157" s="260">
        <v>30.134929</v>
      </c>
      <c r="AH157" s="260">
        <v>30.163031999999998</v>
      </c>
      <c r="AI157" s="260">
        <v>30.190997999999997</v>
      </c>
      <c r="AJ157" s="260">
        <v>30.218826999999997</v>
      </c>
      <c r="AK157" s="260">
        <v>30.246520999999998</v>
      </c>
      <c r="AL157" s="260">
        <v>30.274077999999999</v>
      </c>
      <c r="AM157" s="260">
        <v>30.301499</v>
      </c>
      <c r="AN157" s="260">
        <v>30.328783999999999</v>
      </c>
      <c r="AO157" s="260">
        <v>30.355933999999998</v>
      </c>
      <c r="AP157" s="260">
        <v>30.382947999999999</v>
      </c>
      <c r="AQ157" s="260">
        <v>30.409827</v>
      </c>
      <c r="AR157" s="260">
        <v>30.43657</v>
      </c>
      <c r="AS157" s="260">
        <v>30.463179</v>
      </c>
      <c r="AT157" s="260">
        <v>30.489652</v>
      </c>
      <c r="AU157" s="260">
        <v>30.515991</v>
      </c>
      <c r="AV157" s="260">
        <v>30.542195999999997</v>
      </c>
      <c r="AW157" s="260">
        <v>30.568266999999999</v>
      </c>
      <c r="AX157" s="260">
        <v>30.594203</v>
      </c>
      <c r="AY157" s="260">
        <v>30.620006</v>
      </c>
      <c r="AZ157" s="260">
        <v>30.645675999999998</v>
      </c>
      <c r="BA157" s="260">
        <v>30.671211999999997</v>
      </c>
      <c r="BB157" s="260">
        <v>30.696615999999999</v>
      </c>
      <c r="BC157" s="260">
        <v>30.721885999999998</v>
      </c>
      <c r="BD157" s="260">
        <v>30.747024</v>
      </c>
      <c r="BE157" s="260">
        <v>30.772030999999998</v>
      </c>
      <c r="BF157" s="260">
        <v>30.796904999999999</v>
      </c>
      <c r="BG157" s="260">
        <v>30.821646999999999</v>
      </c>
      <c r="BH157" s="260">
        <v>30.846259</v>
      </c>
      <c r="BI157" s="260">
        <v>30.870739</v>
      </c>
      <c r="BJ157" s="260">
        <v>30.895088999999999</v>
      </c>
      <c r="BK157" s="260">
        <v>30.919307999999997</v>
      </c>
      <c r="BL157" s="260">
        <v>30.943396999999997</v>
      </c>
      <c r="BM157" s="260">
        <v>30.967357</v>
      </c>
      <c r="BN157" s="260">
        <v>30.991187</v>
      </c>
      <c r="BO157" s="260">
        <v>31.014887999999999</v>
      </c>
      <c r="BP157" s="260">
        <v>31.038460999999998</v>
      </c>
      <c r="BQ157" s="260">
        <v>31.061904999999999</v>
      </c>
      <c r="BR157" s="260">
        <v>31.085220999999997</v>
      </c>
      <c r="BS157" s="260">
        <v>31.108408999999998</v>
      </c>
      <c r="BT157" s="260">
        <v>31.13147</v>
      </c>
      <c r="BU157" s="260">
        <v>31.154404999999997</v>
      </c>
      <c r="BV157" s="260">
        <v>31.177211999999997</v>
      </c>
      <c r="BW157" s="260">
        <v>31.199893999999997</v>
      </c>
      <c r="BX157" s="260">
        <v>31.222448999999997</v>
      </c>
      <c r="BY157" s="260">
        <v>31.244879999999998</v>
      </c>
      <c r="BZ157" s="260">
        <v>31.267184999999998</v>
      </c>
      <c r="CA157" s="260">
        <v>31.289365</v>
      </c>
      <c r="CB157" s="260">
        <v>31.311422</v>
      </c>
      <c r="CC157" s="260">
        <v>31.333354</v>
      </c>
      <c r="CD157" s="260">
        <v>31.355162999999997</v>
      </c>
      <c r="CE157" s="260">
        <v>31.376849</v>
      </c>
      <c r="CF157" s="260">
        <v>31.398412999999998</v>
      </c>
      <c r="CG157" s="260">
        <v>31.419853999999997</v>
      </c>
      <c r="CH157" s="260">
        <v>31.441174</v>
      </c>
    </row>
    <row r="158" spans="1:86" x14ac:dyDescent="0.25">
      <c r="A158" s="170">
        <v>2</v>
      </c>
      <c r="B158" s="170">
        <v>47</v>
      </c>
      <c r="C158" s="259">
        <v>29.030933380126953</v>
      </c>
      <c r="D158" s="259">
        <v>29.083084106445313</v>
      </c>
      <c r="E158" s="259">
        <v>29.134563446044922</v>
      </c>
      <c r="F158" s="259">
        <v>29.185379028320313</v>
      </c>
      <c r="G158" s="259">
        <v>29.235540390014648</v>
      </c>
      <c r="H158" s="259">
        <v>29.285055160522461</v>
      </c>
      <c r="I158" s="260">
        <v>28.987067</v>
      </c>
      <c r="J158" s="260">
        <v>29.019663999999999</v>
      </c>
      <c r="K158" s="260">
        <v>29.051974999999999</v>
      </c>
      <c r="L158" s="260">
        <v>29.084022999999998</v>
      </c>
      <c r="M158" s="260">
        <v>29.115831</v>
      </c>
      <c r="N158" s="260">
        <v>29.147417999999998</v>
      </c>
      <c r="O158" s="260">
        <v>29.178804</v>
      </c>
      <c r="P158" s="260">
        <v>29.210001999999999</v>
      </c>
      <c r="Q158" s="260">
        <v>29.241026999999999</v>
      </c>
      <c r="R158" s="260">
        <v>29.271889999999999</v>
      </c>
      <c r="S158" s="260">
        <v>29.302599999999998</v>
      </c>
      <c r="T158" s="260">
        <v>29.333164</v>
      </c>
      <c r="U158" s="260">
        <v>29.363584999999997</v>
      </c>
      <c r="V158" s="260">
        <v>29.393867</v>
      </c>
      <c r="W158" s="260">
        <v>29.424011</v>
      </c>
      <c r="X158" s="260">
        <v>29.454017</v>
      </c>
      <c r="Y158" s="260">
        <v>29.483884999999997</v>
      </c>
      <c r="Z158" s="260">
        <v>29.513613999999997</v>
      </c>
      <c r="AA158" s="260">
        <v>29.543205</v>
      </c>
      <c r="AB158" s="260">
        <v>29.572657</v>
      </c>
      <c r="AC158" s="260">
        <v>29.601972</v>
      </c>
      <c r="AD158" s="260">
        <v>29.631148</v>
      </c>
      <c r="AE158" s="260">
        <v>29.660185999999999</v>
      </c>
      <c r="AF158" s="260">
        <v>29.689086</v>
      </c>
      <c r="AG158" s="260">
        <v>29.717848</v>
      </c>
      <c r="AH158" s="260">
        <v>29.746471999999997</v>
      </c>
      <c r="AI158" s="260">
        <v>29.774957999999998</v>
      </c>
      <c r="AJ158" s="260">
        <v>29.803305999999999</v>
      </c>
      <c r="AK158" s="260">
        <v>29.831516999999998</v>
      </c>
      <c r="AL158" s="260">
        <v>29.859589999999997</v>
      </c>
      <c r="AM158" s="260">
        <v>29.887525999999998</v>
      </c>
      <c r="AN158" s="260">
        <v>29.915324999999999</v>
      </c>
      <c r="AO158" s="260">
        <v>29.942985999999998</v>
      </c>
      <c r="AP158" s="260">
        <v>29.970510999999998</v>
      </c>
      <c r="AQ158" s="260">
        <v>29.997899</v>
      </c>
      <c r="AR158" s="260">
        <v>30.02515</v>
      </c>
      <c r="AS158" s="260">
        <v>30.052263999999997</v>
      </c>
      <c r="AT158" s="260">
        <v>30.079242999999998</v>
      </c>
      <c r="AU158" s="260">
        <v>30.106085</v>
      </c>
      <c r="AV158" s="260">
        <v>30.132790999999997</v>
      </c>
      <c r="AW158" s="260">
        <v>30.159361999999998</v>
      </c>
      <c r="AX158" s="260">
        <v>30.185796999999997</v>
      </c>
      <c r="AY158" s="260">
        <v>30.212097</v>
      </c>
      <c r="AZ158" s="260">
        <v>30.238261999999999</v>
      </c>
      <c r="BA158" s="260">
        <v>30.264291999999998</v>
      </c>
      <c r="BB158" s="260">
        <v>30.290187</v>
      </c>
      <c r="BC158" s="260">
        <v>30.315947999999999</v>
      </c>
      <c r="BD158" s="260">
        <v>30.341574999999999</v>
      </c>
      <c r="BE158" s="260">
        <v>30.367068999999997</v>
      </c>
      <c r="BF158" s="260">
        <v>30.392427999999999</v>
      </c>
      <c r="BG158" s="260">
        <v>30.417655</v>
      </c>
      <c r="BH158" s="260">
        <v>30.442748999999999</v>
      </c>
      <c r="BI158" s="260">
        <v>30.46771</v>
      </c>
      <c r="BJ158" s="260">
        <v>30.492538</v>
      </c>
      <c r="BK158" s="260">
        <v>30.517234999999999</v>
      </c>
      <c r="BL158" s="260">
        <v>30.541799999999999</v>
      </c>
      <c r="BM158" s="260">
        <v>30.566232999999997</v>
      </c>
      <c r="BN158" s="260">
        <v>30.590534999999999</v>
      </c>
      <c r="BO158" s="260">
        <v>30.614706999999999</v>
      </c>
      <c r="BP158" s="260">
        <v>30.638748</v>
      </c>
      <c r="BQ158" s="260">
        <v>30.662657999999997</v>
      </c>
      <c r="BR158" s="260">
        <v>30.686439999999997</v>
      </c>
      <c r="BS158" s="260">
        <v>30.710090999999998</v>
      </c>
      <c r="BT158" s="260">
        <v>30.733613999999999</v>
      </c>
      <c r="BU158" s="260">
        <v>30.757007999999999</v>
      </c>
      <c r="BV158" s="260">
        <v>30.780272999999998</v>
      </c>
      <c r="BW158" s="260">
        <v>30.803410999999997</v>
      </c>
      <c r="BX158" s="260">
        <v>30.826421</v>
      </c>
      <c r="BY158" s="260">
        <v>30.849304</v>
      </c>
      <c r="BZ158" s="260">
        <v>30.872059999999998</v>
      </c>
      <c r="CA158" s="260">
        <v>30.894689</v>
      </c>
      <c r="CB158" s="260">
        <v>30.917192999999997</v>
      </c>
      <c r="CC158" s="260">
        <v>30.939570999999997</v>
      </c>
      <c r="CD158" s="260">
        <v>30.961822999999999</v>
      </c>
      <c r="CE158" s="260">
        <v>30.983950999999998</v>
      </c>
      <c r="CF158" s="260">
        <v>31.005953999999999</v>
      </c>
      <c r="CG158" s="260">
        <v>31.027833999999999</v>
      </c>
      <c r="CH158" s="260">
        <v>31.049588999999997</v>
      </c>
    </row>
    <row r="159" spans="1:86" x14ac:dyDescent="0.25">
      <c r="A159" s="170">
        <v>2</v>
      </c>
      <c r="B159" s="170">
        <v>48</v>
      </c>
      <c r="C159" s="259">
        <v>28.570621490478516</v>
      </c>
      <c r="D159" s="259">
        <v>28.62397575378418</v>
      </c>
      <c r="E159" s="259">
        <v>28.67664909362793</v>
      </c>
      <c r="F159" s="259">
        <v>28.728649139404297</v>
      </c>
      <c r="G159" s="259">
        <v>28.779983520507813</v>
      </c>
      <c r="H159" s="259">
        <v>28.830661773681641</v>
      </c>
      <c r="I159" s="260">
        <v>28.548486999999998</v>
      </c>
      <c r="J159" s="260">
        <v>28.581723</v>
      </c>
      <c r="K159" s="260">
        <v>28.614652</v>
      </c>
      <c r="L159" s="260">
        <v>28.647302999999997</v>
      </c>
      <c r="M159" s="260">
        <v>28.6797</v>
      </c>
      <c r="N159" s="260">
        <v>28.711865</v>
      </c>
      <c r="O159" s="260">
        <v>28.743817999999997</v>
      </c>
      <c r="P159" s="260">
        <v>28.775576999999998</v>
      </c>
      <c r="Q159" s="260">
        <v>28.807157</v>
      </c>
      <c r="R159" s="260">
        <v>28.838569999999997</v>
      </c>
      <c r="S159" s="260">
        <v>28.869826</v>
      </c>
      <c r="T159" s="260">
        <v>28.900932999999998</v>
      </c>
      <c r="U159" s="260">
        <v>28.931896999999999</v>
      </c>
      <c r="V159" s="260">
        <v>28.962720999999998</v>
      </c>
      <c r="W159" s="260">
        <v>28.993406</v>
      </c>
      <c r="X159" s="260">
        <v>29.023951</v>
      </c>
      <c r="Y159" s="260">
        <v>29.054355999999999</v>
      </c>
      <c r="Z159" s="260">
        <v>29.084622999999997</v>
      </c>
      <c r="AA159" s="260">
        <v>29.114749999999997</v>
      </c>
      <c r="AB159" s="260">
        <v>29.144736999999999</v>
      </c>
      <c r="AC159" s="260">
        <v>29.174585</v>
      </c>
      <c r="AD159" s="260">
        <v>29.204293999999997</v>
      </c>
      <c r="AE159" s="260">
        <v>29.233862999999999</v>
      </c>
      <c r="AF159" s="260">
        <v>29.263292999999997</v>
      </c>
      <c r="AG159" s="260">
        <v>29.292583999999998</v>
      </c>
      <c r="AH159" s="260">
        <v>29.321735999999998</v>
      </c>
      <c r="AI159" s="260">
        <v>29.350747999999999</v>
      </c>
      <c r="AJ159" s="260">
        <v>29.379621999999998</v>
      </c>
      <c r="AK159" s="260">
        <v>29.408355999999998</v>
      </c>
      <c r="AL159" s="260">
        <v>29.436951999999998</v>
      </c>
      <c r="AM159" s="260">
        <v>29.465408999999998</v>
      </c>
      <c r="AN159" s="260">
        <v>29.493727</v>
      </c>
      <c r="AO159" s="260">
        <v>29.521906999999999</v>
      </c>
      <c r="AP159" s="260">
        <v>29.549947999999997</v>
      </c>
      <c r="AQ159" s="260">
        <v>29.577850999999999</v>
      </c>
      <c r="AR159" s="260">
        <v>29.605615999999998</v>
      </c>
      <c r="AS159" s="260">
        <v>29.633243</v>
      </c>
      <c r="AT159" s="260">
        <v>29.660732999999997</v>
      </c>
      <c r="AU159" s="260">
        <v>29.688084</v>
      </c>
      <c r="AV159" s="260">
        <v>29.715298999999998</v>
      </c>
      <c r="AW159" s="260">
        <v>29.742376</v>
      </c>
      <c r="AX159" s="260">
        <v>29.769316</v>
      </c>
      <c r="AY159" s="260">
        <v>29.796118999999997</v>
      </c>
      <c r="AZ159" s="260">
        <v>29.822785999999997</v>
      </c>
      <c r="BA159" s="260">
        <v>29.849315999999998</v>
      </c>
      <c r="BB159" s="260">
        <v>29.875709999999998</v>
      </c>
      <c r="BC159" s="260">
        <v>29.901968</v>
      </c>
      <c r="BD159" s="260">
        <v>29.928090999999998</v>
      </c>
      <c r="BE159" s="260">
        <v>29.954077999999999</v>
      </c>
      <c r="BF159" s="260">
        <v>29.97993</v>
      </c>
      <c r="BG159" s="260">
        <v>30.005647</v>
      </c>
      <c r="BH159" s="260">
        <v>30.031229999999997</v>
      </c>
      <c r="BI159" s="260">
        <v>30.056677999999998</v>
      </c>
      <c r="BJ159" s="260">
        <v>30.081992</v>
      </c>
      <c r="BK159" s="260">
        <v>30.107173</v>
      </c>
      <c r="BL159" s="260">
        <v>30.13222</v>
      </c>
      <c r="BM159" s="260">
        <v>30.157133999999999</v>
      </c>
      <c r="BN159" s="260">
        <v>30.181915</v>
      </c>
      <c r="BO159" s="260">
        <v>30.206562999999999</v>
      </c>
      <c r="BP159" s="260">
        <v>30.231078999999998</v>
      </c>
      <c r="BQ159" s="260">
        <v>30.255464</v>
      </c>
      <c r="BR159" s="260">
        <v>30.279716999999998</v>
      </c>
      <c r="BS159" s="260">
        <v>30.303837999999999</v>
      </c>
      <c r="BT159" s="260">
        <v>30.327828999999998</v>
      </c>
      <c r="BU159" s="260">
        <v>30.351689999999998</v>
      </c>
      <c r="BV159" s="260">
        <v>30.375419999999998</v>
      </c>
      <c r="BW159" s="260">
        <v>30.399020999999998</v>
      </c>
      <c r="BX159" s="260">
        <v>30.422491999999998</v>
      </c>
      <c r="BY159" s="260">
        <v>30.445833999999998</v>
      </c>
      <c r="BZ159" s="260">
        <v>30.469047</v>
      </c>
      <c r="CA159" s="260">
        <v>30.492132999999999</v>
      </c>
      <c r="CB159" s="260">
        <v>30.515089999999997</v>
      </c>
      <c r="CC159" s="260">
        <v>30.53792</v>
      </c>
      <c r="CD159" s="260">
        <v>30.560623</v>
      </c>
      <c r="CE159" s="260">
        <v>30.583198999999997</v>
      </c>
      <c r="CF159" s="260">
        <v>30.605649</v>
      </c>
      <c r="CG159" s="260">
        <v>30.627972999999997</v>
      </c>
      <c r="CH159" s="260">
        <v>30.650171</v>
      </c>
    </row>
    <row r="160" spans="1:86" x14ac:dyDescent="0.25">
      <c r="A160" s="170">
        <v>2</v>
      </c>
      <c r="B160" s="170">
        <v>49</v>
      </c>
      <c r="C160" s="259">
        <v>28.101917266845703</v>
      </c>
      <c r="D160" s="259">
        <v>28.156467437744141</v>
      </c>
      <c r="E160" s="259">
        <v>28.2103271484375</v>
      </c>
      <c r="F160" s="259">
        <v>28.26350212097168</v>
      </c>
      <c r="G160" s="259">
        <v>28.316003799438477</v>
      </c>
      <c r="H160" s="259">
        <v>28.367837905883789</v>
      </c>
      <c r="I160" s="260">
        <v>28.101277999999997</v>
      </c>
      <c r="J160" s="260">
        <v>28.135161999999998</v>
      </c>
      <c r="K160" s="260">
        <v>28.168720999999998</v>
      </c>
      <c r="L160" s="260">
        <v>28.201982999999998</v>
      </c>
      <c r="M160" s="260">
        <v>28.234977999999998</v>
      </c>
      <c r="N160" s="260">
        <v>28.267727999999998</v>
      </c>
      <c r="O160" s="260">
        <v>28.300256999999998</v>
      </c>
      <c r="P160" s="260">
        <v>28.332583999999997</v>
      </c>
      <c r="Q160" s="260">
        <v>28.364725999999997</v>
      </c>
      <c r="R160" s="260">
        <v>28.396694999999998</v>
      </c>
      <c r="S160" s="260">
        <v>28.428504999999998</v>
      </c>
      <c r="T160" s="260">
        <v>28.460162999999998</v>
      </c>
      <c r="U160" s="260">
        <v>28.491676999999999</v>
      </c>
      <c r="V160" s="260">
        <v>28.523049</v>
      </c>
      <c r="W160" s="260">
        <v>28.554279999999999</v>
      </c>
      <c r="X160" s="260">
        <v>28.585372</v>
      </c>
      <c r="Y160" s="260">
        <v>28.616322999999998</v>
      </c>
      <c r="Z160" s="260">
        <v>28.647133</v>
      </c>
      <c r="AA160" s="260">
        <v>28.677802999999997</v>
      </c>
      <c r="AB160" s="260">
        <v>28.708331999999999</v>
      </c>
      <c r="AC160" s="260">
        <v>28.738720999999998</v>
      </c>
      <c r="AD160" s="260">
        <v>28.768968999999998</v>
      </c>
      <c r="AE160" s="260">
        <v>28.799076999999997</v>
      </c>
      <c r="AF160" s="260">
        <v>28.829044</v>
      </c>
      <c r="AG160" s="260">
        <v>28.858870999999997</v>
      </c>
      <c r="AH160" s="260">
        <v>28.888558</v>
      </c>
      <c r="AI160" s="260">
        <v>28.918104</v>
      </c>
      <c r="AJ160" s="260">
        <v>28.947509</v>
      </c>
      <c r="AK160" s="260">
        <v>28.976775</v>
      </c>
      <c r="AL160" s="260">
        <v>29.0059</v>
      </c>
      <c r="AM160" s="260">
        <v>29.034884999999999</v>
      </c>
      <c r="AN160" s="260">
        <v>29.06373</v>
      </c>
      <c r="AO160" s="260">
        <v>29.092434999999998</v>
      </c>
      <c r="AP160" s="260">
        <v>29.121001</v>
      </c>
      <c r="AQ160" s="260">
        <v>29.149426999999999</v>
      </c>
      <c r="AR160" s="260">
        <v>29.177712999999997</v>
      </c>
      <c r="AS160" s="260">
        <v>29.205859999999998</v>
      </c>
      <c r="AT160" s="260">
        <v>29.233867999999998</v>
      </c>
      <c r="AU160" s="260">
        <v>29.261735999999999</v>
      </c>
      <c r="AV160" s="260">
        <v>29.289465999999997</v>
      </c>
      <c r="AW160" s="260">
        <v>29.317056999999998</v>
      </c>
      <c r="AX160" s="260">
        <v>29.34451</v>
      </c>
      <c r="AY160" s="260">
        <v>29.371824</v>
      </c>
      <c r="AZ160" s="260">
        <v>29.398999999999997</v>
      </c>
      <c r="BA160" s="260">
        <v>29.426037999999998</v>
      </c>
      <c r="BB160" s="260">
        <v>29.452938</v>
      </c>
      <c r="BC160" s="260">
        <v>29.479700999999999</v>
      </c>
      <c r="BD160" s="260">
        <v>29.506325999999998</v>
      </c>
      <c r="BE160" s="260">
        <v>29.532814999999999</v>
      </c>
      <c r="BF160" s="260">
        <v>29.559166999999999</v>
      </c>
      <c r="BG160" s="260">
        <v>29.585381999999999</v>
      </c>
      <c r="BH160" s="260">
        <v>29.611460999999998</v>
      </c>
      <c r="BI160" s="260">
        <v>29.637404</v>
      </c>
      <c r="BJ160" s="260">
        <v>29.663210999999997</v>
      </c>
      <c r="BK160" s="260">
        <v>29.688882999999997</v>
      </c>
      <c r="BL160" s="260">
        <v>29.714419999999997</v>
      </c>
      <c r="BM160" s="260">
        <v>29.739820999999999</v>
      </c>
      <c r="BN160" s="260">
        <v>29.765089</v>
      </c>
      <c r="BO160" s="260">
        <v>29.790222</v>
      </c>
      <c r="BP160" s="260">
        <v>29.815220999999998</v>
      </c>
      <c r="BQ160" s="260">
        <v>29.840085999999999</v>
      </c>
      <c r="BR160" s="260">
        <v>29.864818999999997</v>
      </c>
      <c r="BS160" s="260">
        <v>29.889417999999999</v>
      </c>
      <c r="BT160" s="260">
        <v>29.913884999999997</v>
      </c>
      <c r="BU160" s="260">
        <v>29.938219</v>
      </c>
      <c r="BV160" s="260">
        <v>29.962420999999999</v>
      </c>
      <c r="BW160" s="260">
        <v>29.986491999999998</v>
      </c>
      <c r="BX160" s="260">
        <v>30.010431999999998</v>
      </c>
      <c r="BY160" s="260">
        <v>30.034240999999998</v>
      </c>
      <c r="BZ160" s="260">
        <v>30.057919999999999</v>
      </c>
      <c r="CA160" s="260">
        <v>30.081467999999997</v>
      </c>
      <c r="CB160" s="260">
        <v>30.104886999999998</v>
      </c>
      <c r="CC160" s="260">
        <v>30.128176</v>
      </c>
      <c r="CD160" s="260">
        <v>30.151336999999998</v>
      </c>
      <c r="CE160" s="260">
        <v>30.174368999999999</v>
      </c>
      <c r="CF160" s="260">
        <v>30.197272999999999</v>
      </c>
      <c r="CG160" s="260">
        <v>30.220048999999999</v>
      </c>
      <c r="CH160" s="260">
        <v>30.242697999999997</v>
      </c>
    </row>
    <row r="161" spans="1:86" x14ac:dyDescent="0.25">
      <c r="A161" s="170">
        <v>2</v>
      </c>
      <c r="B161" s="170">
        <v>50</v>
      </c>
      <c r="C161" s="259">
        <v>27.624839782714844</v>
      </c>
      <c r="D161" s="259">
        <v>27.680570602416992</v>
      </c>
      <c r="E161" s="259">
        <v>27.735603332519531</v>
      </c>
      <c r="F161" s="259">
        <v>27.789943695068359</v>
      </c>
      <c r="G161" s="259">
        <v>27.843599319458008</v>
      </c>
      <c r="H161" s="259">
        <v>27.896579742431641</v>
      </c>
      <c r="I161" s="260">
        <v>27.645430999999999</v>
      </c>
      <c r="J161" s="260">
        <v>27.679973</v>
      </c>
      <c r="K161" s="260">
        <v>27.714167999999997</v>
      </c>
      <c r="L161" s="260">
        <v>27.748051</v>
      </c>
      <c r="M161" s="260">
        <v>27.781648999999998</v>
      </c>
      <c r="N161" s="260">
        <v>27.814990999999999</v>
      </c>
      <c r="O161" s="260">
        <v>27.848101999999997</v>
      </c>
      <c r="P161" s="260">
        <v>27.881001999999999</v>
      </c>
      <c r="Q161" s="260">
        <v>27.913710999999999</v>
      </c>
      <c r="R161" s="260">
        <v>27.946242999999999</v>
      </c>
      <c r="S161" s="260">
        <v>27.978611999999998</v>
      </c>
      <c r="T161" s="260">
        <v>28.010826999999999</v>
      </c>
      <c r="U161" s="260">
        <v>28.042894999999998</v>
      </c>
      <c r="V161" s="260">
        <v>28.074821</v>
      </c>
      <c r="W161" s="260">
        <v>28.106605999999999</v>
      </c>
      <c r="X161" s="260">
        <v>28.138248999999998</v>
      </c>
      <c r="Y161" s="260">
        <v>28.169750999999998</v>
      </c>
      <c r="Z161" s="260">
        <v>28.201110999999997</v>
      </c>
      <c r="AA161" s="260">
        <v>28.232329999999997</v>
      </c>
      <c r="AB161" s="260">
        <v>28.263406999999997</v>
      </c>
      <c r="AC161" s="260">
        <v>28.294342999999998</v>
      </c>
      <c r="AD161" s="260">
        <v>28.325136999999998</v>
      </c>
      <c r="AE161" s="260">
        <v>28.355788999999998</v>
      </c>
      <c r="AF161" s="260">
        <v>28.386298999999998</v>
      </c>
      <c r="AG161" s="260">
        <v>28.416667999999998</v>
      </c>
      <c r="AH161" s="260">
        <v>28.446895999999999</v>
      </c>
      <c r="AI161" s="260">
        <v>28.476980999999999</v>
      </c>
      <c r="AJ161" s="260">
        <v>28.506924999999999</v>
      </c>
      <c r="AK161" s="260">
        <v>28.536728</v>
      </c>
      <c r="AL161" s="260">
        <v>28.566388999999997</v>
      </c>
      <c r="AM161" s="260">
        <v>28.595908999999999</v>
      </c>
      <c r="AN161" s="260">
        <v>28.625287</v>
      </c>
      <c r="AO161" s="260">
        <v>28.654523999999999</v>
      </c>
      <c r="AP161" s="260">
        <v>28.683619999999998</v>
      </c>
      <c r="AQ161" s="260">
        <v>28.712574999999998</v>
      </c>
      <c r="AR161" s="260">
        <v>28.741388999999998</v>
      </c>
      <c r="AS161" s="260">
        <v>28.770061999999999</v>
      </c>
      <c r="AT161" s="260">
        <v>28.798594999999999</v>
      </c>
      <c r="AU161" s="260">
        <v>28.826986999999999</v>
      </c>
      <c r="AV161" s="260">
        <v>28.855238</v>
      </c>
      <c r="AW161" s="260">
        <v>28.88335</v>
      </c>
      <c r="AX161" s="260">
        <v>28.911320999999997</v>
      </c>
      <c r="AY161" s="260">
        <v>28.939152999999997</v>
      </c>
      <c r="AZ161" s="260">
        <v>28.966844999999999</v>
      </c>
      <c r="BA161" s="260">
        <v>28.994396999999999</v>
      </c>
      <c r="BB161" s="260">
        <v>29.021809999999999</v>
      </c>
      <c r="BC161" s="260">
        <v>29.049083999999997</v>
      </c>
      <c r="BD161" s="260">
        <v>29.076218999999998</v>
      </c>
      <c r="BE161" s="260">
        <v>29.103216</v>
      </c>
      <c r="BF161" s="260">
        <v>29.130073999999997</v>
      </c>
      <c r="BG161" s="260">
        <v>29.156793999999998</v>
      </c>
      <c r="BH161" s="260">
        <v>29.183375999999999</v>
      </c>
      <c r="BI161" s="260">
        <v>29.209820999999998</v>
      </c>
      <c r="BJ161" s="260">
        <v>29.236127999999997</v>
      </c>
      <c r="BK161" s="260">
        <v>29.262297999999998</v>
      </c>
      <c r="BL161" s="260">
        <v>29.288330999999999</v>
      </c>
      <c r="BM161" s="260">
        <v>29.314228</v>
      </c>
      <c r="BN161" s="260">
        <v>29.339987999999998</v>
      </c>
      <c r="BO161" s="260">
        <v>29.365611999999999</v>
      </c>
      <c r="BP161" s="260">
        <v>29.391100999999999</v>
      </c>
      <c r="BQ161" s="260">
        <v>29.416453999999998</v>
      </c>
      <c r="BR161" s="260">
        <v>29.441672999999998</v>
      </c>
      <c r="BS161" s="260">
        <v>29.466756</v>
      </c>
      <c r="BT161" s="260">
        <v>29.491705999999997</v>
      </c>
      <c r="BU161" s="260">
        <v>29.516520999999997</v>
      </c>
      <c r="BV161" s="260">
        <v>29.541202999999999</v>
      </c>
      <c r="BW161" s="260">
        <v>29.565750999999999</v>
      </c>
      <c r="BX161" s="260">
        <v>29.590166</v>
      </c>
      <c r="BY161" s="260">
        <v>29.614448999999997</v>
      </c>
      <c r="BZ161" s="260">
        <v>29.638598999999999</v>
      </c>
      <c r="CA161" s="260">
        <v>29.662617999999998</v>
      </c>
      <c r="CB161" s="260">
        <v>29.686503999999999</v>
      </c>
      <c r="CC161" s="260">
        <v>29.710259999999998</v>
      </c>
      <c r="CD161" s="260">
        <v>29.733884999999997</v>
      </c>
      <c r="CE161" s="260">
        <v>29.757379999999998</v>
      </c>
      <c r="CF161" s="260">
        <v>29.780745</v>
      </c>
      <c r="CG161" s="260">
        <v>29.803979999999999</v>
      </c>
      <c r="CH161" s="260">
        <v>29.827085999999998</v>
      </c>
    </row>
    <row r="162" spans="1:86" x14ac:dyDescent="0.25">
      <c r="A162" s="170">
        <v>2</v>
      </c>
      <c r="B162" s="170">
        <v>51</v>
      </c>
      <c r="C162" s="259">
        <v>27.139194488525391</v>
      </c>
      <c r="D162" s="259">
        <v>27.196048736572266</v>
      </c>
      <c r="E162" s="259">
        <v>27.252197265625</v>
      </c>
      <c r="F162" s="259">
        <v>27.307647705078125</v>
      </c>
      <c r="G162" s="259">
        <v>27.362407684326172</v>
      </c>
      <c r="H162" s="259">
        <v>27.416484832763672</v>
      </c>
      <c r="I162" s="260">
        <v>27.181058</v>
      </c>
      <c r="J162" s="260">
        <v>27.216260999999999</v>
      </c>
      <c r="K162" s="260">
        <v>27.251097999999999</v>
      </c>
      <c r="L162" s="260">
        <v>27.285602999999998</v>
      </c>
      <c r="M162" s="260">
        <v>27.31981</v>
      </c>
      <c r="N162" s="260">
        <v>27.353746999999998</v>
      </c>
      <c r="O162" s="260">
        <v>27.387442</v>
      </c>
      <c r="P162" s="260">
        <v>27.420918</v>
      </c>
      <c r="Q162" s="260">
        <v>27.454196999999997</v>
      </c>
      <c r="R162" s="260">
        <v>27.487295</v>
      </c>
      <c r="S162" s="260">
        <v>27.520225999999997</v>
      </c>
      <c r="T162" s="260">
        <v>27.553000999999998</v>
      </c>
      <c r="U162" s="260">
        <v>27.585628</v>
      </c>
      <c r="V162" s="260">
        <v>27.618112</v>
      </c>
      <c r="W162" s="260">
        <v>27.650452999999999</v>
      </c>
      <c r="X162" s="260">
        <v>27.682651999999997</v>
      </c>
      <c r="Y162" s="260">
        <v>27.714707999999998</v>
      </c>
      <c r="Z162" s="260">
        <v>27.746621999999999</v>
      </c>
      <c r="AA162" s="260">
        <v>27.778393999999999</v>
      </c>
      <c r="AB162" s="260">
        <v>27.810022999999997</v>
      </c>
      <c r="AC162" s="260">
        <v>27.841508999999999</v>
      </c>
      <c r="AD162" s="260">
        <v>27.872852999999999</v>
      </c>
      <c r="AE162" s="260">
        <v>27.904052999999998</v>
      </c>
      <c r="AF162" s="260">
        <v>27.935110999999999</v>
      </c>
      <c r="AG162" s="260">
        <v>27.966027</v>
      </c>
      <c r="AH162" s="260">
        <v>27.996798999999999</v>
      </c>
      <c r="AI162" s="260">
        <v>28.027428999999998</v>
      </c>
      <c r="AJ162" s="260">
        <v>28.057914999999998</v>
      </c>
      <c r="AK162" s="260">
        <v>28.088258999999997</v>
      </c>
      <c r="AL162" s="260">
        <v>28.118461</v>
      </c>
      <c r="AM162" s="260">
        <v>28.148519999999998</v>
      </c>
      <c r="AN162" s="260">
        <v>28.178435999999998</v>
      </c>
      <c r="AO162" s="260">
        <v>28.208209</v>
      </c>
      <c r="AP162" s="260">
        <v>28.237839999999998</v>
      </c>
      <c r="AQ162" s="260">
        <v>28.267329</v>
      </c>
      <c r="AR162" s="260">
        <v>28.296675</v>
      </c>
      <c r="AS162" s="260">
        <v>28.325879999999998</v>
      </c>
      <c r="AT162" s="260">
        <v>28.354941999999998</v>
      </c>
      <c r="AU162" s="260">
        <v>28.383861999999997</v>
      </c>
      <c r="AV162" s="260">
        <v>28.412640999999997</v>
      </c>
      <c r="AW162" s="260">
        <v>28.441276999999999</v>
      </c>
      <c r="AX162" s="260">
        <v>28.469773</v>
      </c>
      <c r="AY162" s="260">
        <v>28.498127</v>
      </c>
      <c r="AZ162" s="260">
        <v>28.526339</v>
      </c>
      <c r="BA162" s="260">
        <v>28.554410999999998</v>
      </c>
      <c r="BB162" s="260">
        <v>28.582341999999997</v>
      </c>
      <c r="BC162" s="260">
        <v>28.610132999999998</v>
      </c>
      <c r="BD162" s="260">
        <v>28.637782999999999</v>
      </c>
      <c r="BE162" s="260">
        <v>28.665291999999997</v>
      </c>
      <c r="BF162" s="260">
        <v>28.692661999999999</v>
      </c>
      <c r="BG162" s="260">
        <v>28.719891999999998</v>
      </c>
      <c r="BH162" s="260">
        <v>28.746983</v>
      </c>
      <c r="BI162" s="260">
        <v>28.773933999999997</v>
      </c>
      <c r="BJ162" s="260">
        <v>28.800746</v>
      </c>
      <c r="BK162" s="260">
        <v>28.82742</v>
      </c>
      <c r="BL162" s="260">
        <v>28.853954999999999</v>
      </c>
      <c r="BM162" s="260">
        <v>28.880350999999997</v>
      </c>
      <c r="BN162" s="260">
        <v>28.906609999999997</v>
      </c>
      <c r="BO162" s="260">
        <v>28.932731</v>
      </c>
      <c r="BP162" s="260">
        <v>28.958714999999998</v>
      </c>
      <c r="BQ162" s="260">
        <v>28.984562</v>
      </c>
      <c r="BR162" s="260">
        <v>29.010271999999997</v>
      </c>
      <c r="BS162" s="260">
        <v>29.035844999999998</v>
      </c>
      <c r="BT162" s="260">
        <v>29.061283</v>
      </c>
      <c r="BU162" s="260">
        <v>29.086583999999998</v>
      </c>
      <c r="BV162" s="260">
        <v>29.111749999999997</v>
      </c>
      <c r="BW162" s="260">
        <v>29.136782</v>
      </c>
      <c r="BX162" s="260">
        <v>29.161677999999998</v>
      </c>
      <c r="BY162" s="260">
        <v>29.186439999999997</v>
      </c>
      <c r="BZ162" s="260">
        <v>29.211067999999997</v>
      </c>
      <c r="CA162" s="260">
        <v>29.235561999999998</v>
      </c>
      <c r="CB162" s="260">
        <v>29.259922</v>
      </c>
      <c r="CC162" s="260">
        <v>29.28415</v>
      </c>
      <c r="CD162" s="260">
        <v>29.308245999999997</v>
      </c>
      <c r="CE162" s="260">
        <v>29.332208999999999</v>
      </c>
      <c r="CF162" s="260">
        <v>29.35604</v>
      </c>
      <c r="CG162" s="260">
        <v>29.379739999999998</v>
      </c>
      <c r="CH162" s="260">
        <v>29.403309</v>
      </c>
    </row>
    <row r="163" spans="1:86" x14ac:dyDescent="0.25">
      <c r="A163" s="170">
        <v>2</v>
      </c>
      <c r="B163" s="170">
        <v>52</v>
      </c>
      <c r="C163" s="259">
        <v>26.645349502563477</v>
      </c>
      <c r="D163" s="259">
        <v>26.70329475402832</v>
      </c>
      <c r="E163" s="259">
        <v>26.760530471801758</v>
      </c>
      <c r="F163" s="259">
        <v>26.817060470581055</v>
      </c>
      <c r="G163" s="259">
        <v>26.872896194458008</v>
      </c>
      <c r="H163" s="259">
        <v>26.928045272827148</v>
      </c>
      <c r="I163" s="260">
        <v>26.707722</v>
      </c>
      <c r="J163" s="260">
        <v>26.743596</v>
      </c>
      <c r="K163" s="260">
        <v>26.779081999999999</v>
      </c>
      <c r="L163" s="260">
        <v>26.814216999999999</v>
      </c>
      <c r="M163" s="260">
        <v>26.849036999999999</v>
      </c>
      <c r="N163" s="260">
        <v>26.883575999999998</v>
      </c>
      <c r="O163" s="260">
        <v>26.917860999999998</v>
      </c>
      <c r="P163" s="260">
        <v>26.951919</v>
      </c>
      <c r="Q163" s="260">
        <v>26.985772999999998</v>
      </c>
      <c r="R163" s="260">
        <v>27.019441</v>
      </c>
      <c r="S163" s="260">
        <v>27.05294</v>
      </c>
      <c r="T163" s="260">
        <v>27.086281</v>
      </c>
      <c r="U163" s="260">
        <v>27.119471999999998</v>
      </c>
      <c r="V163" s="260">
        <v>27.152518999999998</v>
      </c>
      <c r="W163" s="260">
        <v>27.185421999999999</v>
      </c>
      <c r="X163" s="260">
        <v>27.218183</v>
      </c>
      <c r="Y163" s="260">
        <v>27.250799999999998</v>
      </c>
      <c r="Z163" s="260">
        <v>27.283273999999999</v>
      </c>
      <c r="AA163" s="260">
        <v>27.315604</v>
      </c>
      <c r="AB163" s="260">
        <v>27.347790999999997</v>
      </c>
      <c r="AC163" s="260">
        <v>27.379833999999999</v>
      </c>
      <c r="AD163" s="260">
        <v>27.411732999999998</v>
      </c>
      <c r="AE163" s="260">
        <v>27.443487999999999</v>
      </c>
      <c r="AF163" s="260">
        <v>27.475099999999998</v>
      </c>
      <c r="AG163" s="260">
        <v>27.506567999999998</v>
      </c>
      <c r="AH163" s="260">
        <v>27.537891999999999</v>
      </c>
      <c r="AI163" s="260">
        <v>27.569070999999997</v>
      </c>
      <c r="AJ163" s="260">
        <v>27.600106999999998</v>
      </c>
      <c r="AK163" s="260">
        <v>27.630998999999999</v>
      </c>
      <c r="AL163" s="260">
        <v>27.661746999999998</v>
      </c>
      <c r="AM163" s="260">
        <v>27.692350999999999</v>
      </c>
      <c r="AN163" s="260">
        <v>27.722811999999998</v>
      </c>
      <c r="AO163" s="260">
        <v>27.753128</v>
      </c>
      <c r="AP163" s="260">
        <v>27.783300999999998</v>
      </c>
      <c r="AQ163" s="260">
        <v>27.813329999999997</v>
      </c>
      <c r="AR163" s="260">
        <v>27.843214999999997</v>
      </c>
      <c r="AS163" s="260">
        <v>27.872957</v>
      </c>
      <c r="AT163" s="260">
        <v>27.902555999999997</v>
      </c>
      <c r="AU163" s="260">
        <v>27.932010999999999</v>
      </c>
      <c r="AV163" s="260">
        <v>27.961323</v>
      </c>
      <c r="AW163" s="260">
        <v>27.990490999999999</v>
      </c>
      <c r="AX163" s="260">
        <v>28.019517</v>
      </c>
      <c r="AY163" s="260">
        <v>28.048399999999997</v>
      </c>
      <c r="AZ163" s="260">
        <v>28.077140999999997</v>
      </c>
      <c r="BA163" s="260">
        <v>28.105739</v>
      </c>
      <c r="BB163" s="260">
        <v>28.134193999999997</v>
      </c>
      <c r="BC163" s="260">
        <v>28.162507999999999</v>
      </c>
      <c r="BD163" s="260">
        <v>28.190678999999999</v>
      </c>
      <c r="BE163" s="260">
        <v>28.218709</v>
      </c>
      <c r="BF163" s="260">
        <v>28.246596999999998</v>
      </c>
      <c r="BG163" s="260">
        <v>28.274343999999999</v>
      </c>
      <c r="BH163" s="260">
        <v>28.301949999999998</v>
      </c>
      <c r="BI163" s="260">
        <v>28.329414999999997</v>
      </c>
      <c r="BJ163" s="260">
        <v>28.356738999999997</v>
      </c>
      <c r="BK163" s="260">
        <v>28.383922999999999</v>
      </c>
      <c r="BL163" s="260">
        <v>28.410965999999998</v>
      </c>
      <c r="BM163" s="260">
        <v>28.43787</v>
      </c>
      <c r="BN163" s="260">
        <v>28.464634</v>
      </c>
      <c r="BO163" s="260">
        <v>28.491258999999999</v>
      </c>
      <c r="BP163" s="260">
        <v>28.517744999999998</v>
      </c>
      <c r="BQ163" s="260">
        <v>28.544091999999999</v>
      </c>
      <c r="BR163" s="260">
        <v>28.570300999999997</v>
      </c>
      <c r="BS163" s="260">
        <v>28.596370999999998</v>
      </c>
      <c r="BT163" s="260">
        <v>28.622302999999999</v>
      </c>
      <c r="BU163" s="260">
        <v>28.648097999999997</v>
      </c>
      <c r="BV163" s="260">
        <v>28.673755999999997</v>
      </c>
      <c r="BW163" s="260">
        <v>28.699276999999999</v>
      </c>
      <c r="BX163" s="260">
        <v>28.724660999999998</v>
      </c>
      <c r="BY163" s="260">
        <v>28.74991</v>
      </c>
      <c r="BZ163" s="260">
        <v>28.775022</v>
      </c>
      <c r="CA163" s="260">
        <v>28.799999</v>
      </c>
      <c r="CB163" s="260">
        <v>28.824839999999998</v>
      </c>
      <c r="CC163" s="260">
        <v>28.849546999999998</v>
      </c>
      <c r="CD163" s="260">
        <v>28.874119999999998</v>
      </c>
      <c r="CE163" s="260">
        <v>28.898557999999998</v>
      </c>
      <c r="CF163" s="260">
        <v>28.922863</v>
      </c>
      <c r="CG163" s="260">
        <v>28.947035</v>
      </c>
      <c r="CH163" s="260">
        <v>28.971072999999997</v>
      </c>
    </row>
    <row r="164" spans="1:86" x14ac:dyDescent="0.25">
      <c r="A164" s="170">
        <v>2</v>
      </c>
      <c r="B164" s="170">
        <v>53</v>
      </c>
      <c r="C164" s="259">
        <v>26.143312454223633</v>
      </c>
      <c r="D164" s="259">
        <v>26.202312469482422</v>
      </c>
      <c r="E164" s="259">
        <v>26.260597229003906</v>
      </c>
      <c r="F164" s="259">
        <v>26.31817626953125</v>
      </c>
      <c r="G164" s="259">
        <v>26.375057220458984</v>
      </c>
      <c r="H164" s="259">
        <v>26.431243896484375</v>
      </c>
      <c r="I164" s="260">
        <v>26.224681999999998</v>
      </c>
      <c r="J164" s="260">
        <v>26.261244999999999</v>
      </c>
      <c r="K164" s="260">
        <v>26.297395999999999</v>
      </c>
      <c r="L164" s="260">
        <v>26.333175999999998</v>
      </c>
      <c r="M164" s="260">
        <v>26.368624000000001</v>
      </c>
      <c r="N164" s="260">
        <v>26.403776000000001</v>
      </c>
      <c r="O164" s="260">
        <v>26.438662999999998</v>
      </c>
      <c r="P164" s="260">
        <v>26.473313999999998</v>
      </c>
      <c r="Q164" s="260">
        <v>26.507753999999998</v>
      </c>
      <c r="R164" s="260">
        <v>26.542003999999999</v>
      </c>
      <c r="S164" s="260">
        <v>26.576079999999997</v>
      </c>
      <c r="T164" s="260">
        <v>26.609997</v>
      </c>
      <c r="U164" s="260">
        <v>26.643761999999999</v>
      </c>
      <c r="V164" s="260">
        <v>26.677381999999998</v>
      </c>
      <c r="W164" s="260">
        <v>26.710858999999999</v>
      </c>
      <c r="X164" s="260">
        <v>26.744190999999997</v>
      </c>
      <c r="Y164" s="260">
        <v>26.777379</v>
      </c>
      <c r="Z164" s="260">
        <v>26.810421999999999</v>
      </c>
      <c r="AA164" s="260">
        <v>26.843321999999997</v>
      </c>
      <c r="AB164" s="260">
        <v>26.876075999999998</v>
      </c>
      <c r="AC164" s="260">
        <v>26.908685999999999</v>
      </c>
      <c r="AD164" s="260">
        <v>26.941151999999999</v>
      </c>
      <c r="AE164" s="260">
        <v>26.973471999999997</v>
      </c>
      <c r="AF164" s="260">
        <v>27.005647</v>
      </c>
      <c r="AG164" s="260">
        <v>27.037678</v>
      </c>
      <c r="AH164" s="260">
        <v>27.069562999999999</v>
      </c>
      <c r="AI164" s="260">
        <v>27.101303999999999</v>
      </c>
      <c r="AJ164" s="260">
        <v>27.132898999999998</v>
      </c>
      <c r="AK164" s="260">
        <v>27.164348999999998</v>
      </c>
      <c r="AL164" s="260">
        <v>27.195653999999998</v>
      </c>
      <c r="AM164" s="260">
        <v>27.226813999999997</v>
      </c>
      <c r="AN164" s="260">
        <v>27.257828999999997</v>
      </c>
      <c r="AO164" s="260">
        <v>27.288698</v>
      </c>
      <c r="AP164" s="260">
        <v>27.319423</v>
      </c>
      <c r="AQ164" s="260">
        <v>27.350002</v>
      </c>
      <c r="AR164" s="260">
        <v>27.380436999999997</v>
      </c>
      <c r="AS164" s="260">
        <v>27.410726999999998</v>
      </c>
      <c r="AT164" s="260">
        <v>27.440870999999998</v>
      </c>
      <c r="AU164" s="260">
        <v>27.470872</v>
      </c>
      <c r="AV164" s="260">
        <v>27.500726999999998</v>
      </c>
      <c r="AW164" s="260">
        <v>27.530438</v>
      </c>
      <c r="AX164" s="260">
        <v>27.560005</v>
      </c>
      <c r="AY164" s="260">
        <v>27.589426999999997</v>
      </c>
      <c r="AZ164" s="260">
        <v>27.618706</v>
      </c>
      <c r="BA164" s="260">
        <v>27.647839999999999</v>
      </c>
      <c r="BB164" s="260">
        <v>27.676829999999999</v>
      </c>
      <c r="BC164" s="260">
        <v>27.705676999999998</v>
      </c>
      <c r="BD164" s="260">
        <v>27.734379999999998</v>
      </c>
      <c r="BE164" s="260">
        <v>27.76294</v>
      </c>
      <c r="BF164" s="260">
        <v>27.791356999999998</v>
      </c>
      <c r="BG164" s="260">
        <v>27.819630999999998</v>
      </c>
      <c r="BH164" s="260">
        <v>27.847761999999999</v>
      </c>
      <c r="BI164" s="260">
        <v>27.87575</v>
      </c>
      <c r="BJ164" s="260">
        <v>27.903596999999998</v>
      </c>
      <c r="BK164" s="260">
        <v>27.931300999999998</v>
      </c>
      <c r="BL164" s="260">
        <v>27.958862999999997</v>
      </c>
      <c r="BM164" s="260">
        <v>27.986283999999998</v>
      </c>
      <c r="BN164" s="260">
        <v>28.013563999999999</v>
      </c>
      <c r="BO164" s="260">
        <v>28.040702</v>
      </c>
      <c r="BP164" s="260">
        <v>28.067699999999999</v>
      </c>
      <c r="BQ164" s="260">
        <v>28.094556999999998</v>
      </c>
      <c r="BR164" s="260">
        <v>28.121274</v>
      </c>
      <c r="BS164" s="260">
        <v>28.147852</v>
      </c>
      <c r="BT164" s="260">
        <v>28.174288999999998</v>
      </c>
      <c r="BU164" s="260">
        <v>28.200586999999999</v>
      </c>
      <c r="BV164" s="260">
        <v>28.226747</v>
      </c>
      <c r="BW164" s="260">
        <v>28.252766999999999</v>
      </c>
      <c r="BX164" s="260">
        <v>28.278648999999998</v>
      </c>
      <c r="BY164" s="260">
        <v>28.304393999999998</v>
      </c>
      <c r="BZ164" s="260">
        <v>28.33</v>
      </c>
      <c r="CA164" s="260">
        <v>28.355468999999999</v>
      </c>
      <c r="CB164" s="260">
        <v>28.380801999999999</v>
      </c>
      <c r="CC164" s="260">
        <v>28.405996999999999</v>
      </c>
      <c r="CD164" s="260">
        <v>28.431056999999999</v>
      </c>
      <c r="CE164" s="260">
        <v>28.45598</v>
      </c>
      <c r="CF164" s="260">
        <v>28.480767999999998</v>
      </c>
      <c r="CG164" s="260">
        <v>28.505420999999998</v>
      </c>
      <c r="CH164" s="260">
        <v>28.529938999999999</v>
      </c>
    </row>
    <row r="165" spans="1:86" x14ac:dyDescent="0.25">
      <c r="A165" s="170">
        <v>2</v>
      </c>
      <c r="B165" s="170">
        <v>54</v>
      </c>
      <c r="C165" s="259">
        <v>25.633077621459961</v>
      </c>
      <c r="D165" s="259">
        <v>25.693092346191406</v>
      </c>
      <c r="E165" s="259">
        <v>25.752389907836914</v>
      </c>
      <c r="F165" s="259">
        <v>25.810977935791016</v>
      </c>
      <c r="G165" s="259">
        <v>25.868862152099609</v>
      </c>
      <c r="H165" s="259">
        <v>25.926054000854492</v>
      </c>
      <c r="I165" s="260">
        <v>25.731362999999998</v>
      </c>
      <c r="J165" s="260">
        <v>25.768642</v>
      </c>
      <c r="K165" s="260">
        <v>25.805481999999998</v>
      </c>
      <c r="L165" s="260">
        <v>25.841927999999999</v>
      </c>
      <c r="M165" s="260">
        <v>25.878024</v>
      </c>
      <c r="N165" s="260">
        <v>25.913808</v>
      </c>
      <c r="O165" s="260">
        <v>25.949314999999999</v>
      </c>
      <c r="P165" s="260">
        <v>25.984575</v>
      </c>
      <c r="Q165" s="260">
        <v>26.019617</v>
      </c>
      <c r="R165" s="260">
        <v>26.054461999999997</v>
      </c>
      <c r="S165" s="260">
        <v>26.089130999999998</v>
      </c>
      <c r="T165" s="260">
        <v>26.123635999999998</v>
      </c>
      <c r="U165" s="260">
        <v>26.157988999999997</v>
      </c>
      <c r="V165" s="260">
        <v>26.192195999999999</v>
      </c>
      <c r="W165" s="260">
        <v>26.226257999999998</v>
      </c>
      <c r="X165" s="260">
        <v>26.260175</v>
      </c>
      <c r="Y165" s="260">
        <v>26.293946999999999</v>
      </c>
      <c r="Z165" s="260">
        <v>26.327572999999997</v>
      </c>
      <c r="AA165" s="260">
        <v>26.361055</v>
      </c>
      <c r="AB165" s="260">
        <v>26.394389999999998</v>
      </c>
      <c r="AC165" s="260">
        <v>26.427579999999999</v>
      </c>
      <c r="AD165" s="260">
        <v>26.460625</v>
      </c>
      <c r="AE165" s="260">
        <v>26.493523</v>
      </c>
      <c r="AF165" s="260">
        <v>26.526274999999998</v>
      </c>
      <c r="AG165" s="260">
        <v>26.558881</v>
      </c>
      <c r="AH165" s="260">
        <v>26.591341</v>
      </c>
      <c r="AI165" s="260">
        <v>26.623654999999999</v>
      </c>
      <c r="AJ165" s="260">
        <v>26.655822999999998</v>
      </c>
      <c r="AK165" s="260">
        <v>26.687843999999998</v>
      </c>
      <c r="AL165" s="260">
        <v>26.719718999999998</v>
      </c>
      <c r="AM165" s="260">
        <v>26.751446999999999</v>
      </c>
      <c r="AN165" s="260">
        <v>26.783028999999999</v>
      </c>
      <c r="AO165" s="260">
        <v>26.814464999999998</v>
      </c>
      <c r="AP165" s="260">
        <v>26.845753999999999</v>
      </c>
      <c r="AQ165" s="260">
        <v>26.876897</v>
      </c>
      <c r="AR165" s="260">
        <v>26.907892999999998</v>
      </c>
      <c r="AS165" s="260">
        <v>26.938744</v>
      </c>
      <c r="AT165" s="260">
        <v>26.969448</v>
      </c>
      <c r="AU165" s="260">
        <v>27.000005999999999</v>
      </c>
      <c r="AV165" s="260">
        <v>27.030417999999997</v>
      </c>
      <c r="AW165" s="260">
        <v>27.060682999999997</v>
      </c>
      <c r="AX165" s="260">
        <v>27.090802999999998</v>
      </c>
      <c r="AY165" s="260">
        <v>27.120777999999998</v>
      </c>
      <c r="AZ165" s="260">
        <v>27.150606</v>
      </c>
      <c r="BA165" s="260">
        <v>27.180288999999998</v>
      </c>
      <c r="BB165" s="260">
        <v>27.209826999999997</v>
      </c>
      <c r="BC165" s="260">
        <v>27.23922</v>
      </c>
      <c r="BD165" s="260">
        <v>27.268466999999998</v>
      </c>
      <c r="BE165" s="260">
        <v>27.297568999999999</v>
      </c>
      <c r="BF165" s="260">
        <v>27.326526999999999</v>
      </c>
      <c r="BG165" s="260">
        <v>27.355339999999998</v>
      </c>
      <c r="BH165" s="260">
        <v>27.384008999999999</v>
      </c>
      <c r="BI165" s="260">
        <v>27.412533999999997</v>
      </c>
      <c r="BJ165" s="260">
        <v>27.440913999999999</v>
      </c>
      <c r="BK165" s="260">
        <v>27.469151</v>
      </c>
      <c r="BL165" s="260">
        <v>27.497244999999999</v>
      </c>
      <c r="BM165" s="260">
        <v>27.525195</v>
      </c>
      <c r="BN165" s="260">
        <v>27.553001999999999</v>
      </c>
      <c r="BO165" s="260">
        <v>27.580665999999997</v>
      </c>
      <c r="BP165" s="260">
        <v>27.608187999999998</v>
      </c>
      <c r="BQ165" s="260">
        <v>27.635567999999999</v>
      </c>
      <c r="BR165" s="260">
        <v>27.662804999999999</v>
      </c>
      <c r="BS165" s="260">
        <v>27.689900999999999</v>
      </c>
      <c r="BT165" s="260">
        <v>27.716856</v>
      </c>
      <c r="BU165" s="260">
        <v>27.743668999999997</v>
      </c>
      <c r="BV165" s="260">
        <v>27.770341999999999</v>
      </c>
      <c r="BW165" s="260">
        <v>27.796873999999999</v>
      </c>
      <c r="BX165" s="260">
        <v>27.823266</v>
      </c>
      <c r="BY165" s="260">
        <v>27.849518</v>
      </c>
      <c r="BZ165" s="260">
        <v>27.875629999999997</v>
      </c>
      <c r="CA165" s="260">
        <v>27.901603999999999</v>
      </c>
      <c r="CB165" s="260">
        <v>27.927437999999999</v>
      </c>
      <c r="CC165" s="260">
        <v>27.953133999999999</v>
      </c>
      <c r="CD165" s="260">
        <v>27.978691999999999</v>
      </c>
      <c r="CE165" s="260">
        <v>28.004111999999999</v>
      </c>
      <c r="CF165" s="260">
        <v>28.029394999999997</v>
      </c>
      <c r="CG165" s="260">
        <v>28.054541</v>
      </c>
      <c r="CH165" s="260">
        <v>28.079549999999998</v>
      </c>
    </row>
    <row r="166" spans="1:86" x14ac:dyDescent="0.25">
      <c r="A166" s="170">
        <v>2</v>
      </c>
      <c r="B166" s="170">
        <v>55</v>
      </c>
      <c r="C166" s="259">
        <v>25.114704132080078</v>
      </c>
      <c r="D166" s="259">
        <v>25.175685882568359</v>
      </c>
      <c r="E166" s="259">
        <v>25.23594856262207</v>
      </c>
      <c r="F166" s="259">
        <v>25.295501708984375</v>
      </c>
      <c r="G166" s="259">
        <v>25.354352951049805</v>
      </c>
      <c r="H166" s="259">
        <v>25.412506103515625</v>
      </c>
      <c r="I166" s="260">
        <v>25.228270999999999</v>
      </c>
      <c r="J166" s="260">
        <v>25.266285</v>
      </c>
      <c r="K166" s="260">
        <v>25.303832</v>
      </c>
      <c r="L166" s="260">
        <v>25.340959999999999</v>
      </c>
      <c r="M166" s="260">
        <v>25.377717000000001</v>
      </c>
      <c r="N166" s="260">
        <v>25.414145999999999</v>
      </c>
      <c r="O166" s="260">
        <v>25.450282999999999</v>
      </c>
      <c r="P166" s="260">
        <v>25.486162999999998</v>
      </c>
      <c r="Q166" s="260">
        <v>25.521815999999998</v>
      </c>
      <c r="R166" s="260">
        <v>25.557265999999998</v>
      </c>
      <c r="S166" s="260">
        <v>25.592534999999998</v>
      </c>
      <c r="T166" s="260">
        <v>25.627637</v>
      </c>
      <c r="U166" s="260">
        <v>25.662585999999997</v>
      </c>
      <c r="V166" s="260">
        <v>25.697386999999999</v>
      </c>
      <c r="W166" s="260">
        <v>25.732042</v>
      </c>
      <c r="X166" s="260">
        <v>25.766551999999997</v>
      </c>
      <c r="Y166" s="260">
        <v>25.800915999999997</v>
      </c>
      <c r="Z166" s="260">
        <v>25.835134</v>
      </c>
      <c r="AA166" s="260">
        <v>25.869204999999997</v>
      </c>
      <c r="AB166" s="260">
        <v>25.903129999999997</v>
      </c>
      <c r="AC166" s="260">
        <v>25.936907999999999</v>
      </c>
      <c r="AD166" s="260">
        <v>25.970538999999999</v>
      </c>
      <c r="AE166" s="260">
        <v>26.004023999999998</v>
      </c>
      <c r="AF166" s="260">
        <v>26.037360999999997</v>
      </c>
      <c r="AG166" s="260">
        <v>26.070550999999998</v>
      </c>
      <c r="AH166" s="260">
        <v>26.103593999999998</v>
      </c>
      <c r="AI166" s="260">
        <v>26.136488999999997</v>
      </c>
      <c r="AJ166" s="260">
        <v>26.169236999999999</v>
      </c>
      <c r="AK166" s="260">
        <v>26.201837999999999</v>
      </c>
      <c r="AL166" s="260">
        <v>26.234290999999999</v>
      </c>
      <c r="AM166" s="260">
        <v>26.266596</v>
      </c>
      <c r="AN166" s="260">
        <v>26.298752999999998</v>
      </c>
      <c r="AO166" s="260">
        <v>26.330762999999997</v>
      </c>
      <c r="AP166" s="260">
        <v>26.362624999999998</v>
      </c>
      <c r="AQ166" s="260">
        <v>26.39434</v>
      </c>
      <c r="AR166" s="260">
        <v>26.425906999999999</v>
      </c>
      <c r="AS166" s="260">
        <v>26.457325999999998</v>
      </c>
      <c r="AT166" s="260">
        <v>26.488598</v>
      </c>
      <c r="AU166" s="260">
        <v>26.519721999999998</v>
      </c>
      <c r="AV166" s="260">
        <v>26.550697999999997</v>
      </c>
      <c r="AW166" s="260">
        <v>26.581527999999999</v>
      </c>
      <c r="AX166" s="260">
        <v>26.612209999999997</v>
      </c>
      <c r="AY166" s="260">
        <v>26.642744</v>
      </c>
      <c r="AZ166" s="260">
        <v>26.673131999999999</v>
      </c>
      <c r="BA166" s="260">
        <v>26.703371999999998</v>
      </c>
      <c r="BB166" s="260">
        <v>26.733464999999999</v>
      </c>
      <c r="BC166" s="260">
        <v>26.763411999999999</v>
      </c>
      <c r="BD166" s="260">
        <v>26.793212</v>
      </c>
      <c r="BE166" s="260">
        <v>26.822865999999998</v>
      </c>
      <c r="BF166" s="260">
        <v>26.852373</v>
      </c>
      <c r="BG166" s="260">
        <v>26.881733999999998</v>
      </c>
      <c r="BH166" s="260">
        <v>26.910948999999999</v>
      </c>
      <c r="BI166" s="260">
        <v>26.940017999999998</v>
      </c>
      <c r="BJ166" s="260">
        <v>26.968940999999997</v>
      </c>
      <c r="BK166" s="260">
        <v>26.997719</v>
      </c>
      <c r="BL166" s="260">
        <v>27.026351999999999</v>
      </c>
      <c r="BM166" s="260">
        <v>27.054839999999999</v>
      </c>
      <c r="BN166" s="260">
        <v>27.083182999999998</v>
      </c>
      <c r="BO166" s="260">
        <v>27.111381999999999</v>
      </c>
      <c r="BP166" s="260">
        <v>27.139436</v>
      </c>
      <c r="BQ166" s="260">
        <v>27.167346999999999</v>
      </c>
      <c r="BR166" s="260">
        <v>27.195112999999999</v>
      </c>
      <c r="BS166" s="260">
        <v>27.222736999999999</v>
      </c>
      <c r="BT166" s="260">
        <v>27.250215999999998</v>
      </c>
      <c r="BU166" s="260">
        <v>27.277553999999999</v>
      </c>
      <c r="BV166" s="260">
        <v>27.304748</v>
      </c>
      <c r="BW166" s="260">
        <v>27.331799999999998</v>
      </c>
      <c r="BX166" s="260">
        <v>27.358709999999999</v>
      </c>
      <c r="BY166" s="260">
        <v>27.385477999999999</v>
      </c>
      <c r="BZ166" s="260">
        <v>27.412105</v>
      </c>
      <c r="CA166" s="260">
        <v>27.438590999999999</v>
      </c>
      <c r="CB166" s="260">
        <v>27.464936999999999</v>
      </c>
      <c r="CC166" s="260">
        <v>27.491140999999999</v>
      </c>
      <c r="CD166" s="260">
        <v>27.517205999999998</v>
      </c>
      <c r="CE166" s="260">
        <v>27.543130999999999</v>
      </c>
      <c r="CF166" s="260">
        <v>27.568916999999999</v>
      </c>
      <c r="CG166" s="260">
        <v>27.594563999999998</v>
      </c>
      <c r="CH166" s="260">
        <v>27.620072999999998</v>
      </c>
    </row>
    <row r="167" spans="1:86" x14ac:dyDescent="0.25">
      <c r="A167" s="170">
        <v>2</v>
      </c>
      <c r="B167" s="170">
        <v>56</v>
      </c>
      <c r="C167" s="259">
        <v>24.588474273681641</v>
      </c>
      <c r="D167" s="259">
        <v>24.650390625</v>
      </c>
      <c r="E167" s="259">
        <v>24.711589813232422</v>
      </c>
      <c r="F167" s="259">
        <v>24.772077560424805</v>
      </c>
      <c r="G167" s="259">
        <v>24.831863403320313</v>
      </c>
      <c r="H167" s="259">
        <v>24.890953063964844</v>
      </c>
      <c r="I167" s="260">
        <v>24.716351</v>
      </c>
      <c r="J167" s="260">
        <v>24.755106999999999</v>
      </c>
      <c r="K167" s="260">
        <v>24.793362999999999</v>
      </c>
      <c r="L167" s="260">
        <v>24.831174999999998</v>
      </c>
      <c r="M167" s="260">
        <v>24.868594999999999</v>
      </c>
      <c r="N167" s="260">
        <v>24.905666999999998</v>
      </c>
      <c r="O167" s="260">
        <v>24.942435</v>
      </c>
      <c r="P167" s="260">
        <v>24.978933999999999</v>
      </c>
      <c r="Q167" s="260">
        <v>25.015197999999998</v>
      </c>
      <c r="R167" s="260">
        <v>25.051251999999998</v>
      </c>
      <c r="S167" s="260">
        <v>25.087119999999999</v>
      </c>
      <c r="T167" s="260">
        <v>25.122819999999997</v>
      </c>
      <c r="U167" s="260">
        <v>25.158362999999998</v>
      </c>
      <c r="V167" s="260">
        <v>25.193757999999999</v>
      </c>
      <c r="W167" s="260">
        <v>25.229005999999998</v>
      </c>
      <c r="X167" s="260">
        <v>25.264108</v>
      </c>
      <c r="Y167" s="260">
        <v>25.299063999999998</v>
      </c>
      <c r="Z167" s="260">
        <v>25.333872</v>
      </c>
      <c r="AA167" s="260">
        <v>25.368532999999999</v>
      </c>
      <c r="AB167" s="260">
        <v>25.403046999999997</v>
      </c>
      <c r="AC167" s="260">
        <v>25.437414</v>
      </c>
      <c r="AD167" s="260">
        <v>25.471632</v>
      </c>
      <c r="AE167" s="260">
        <v>25.505703</v>
      </c>
      <c r="AF167" s="260">
        <v>25.539624999999997</v>
      </c>
      <c r="AG167" s="260">
        <v>25.573399999999999</v>
      </c>
      <c r="AH167" s="260">
        <v>25.607025999999998</v>
      </c>
      <c r="AI167" s="260">
        <v>25.640504</v>
      </c>
      <c r="AJ167" s="260">
        <v>25.673832999999998</v>
      </c>
      <c r="AK167" s="260">
        <v>25.707013</v>
      </c>
      <c r="AL167" s="260">
        <v>25.740044999999999</v>
      </c>
      <c r="AM167" s="260">
        <v>25.772928</v>
      </c>
      <c r="AN167" s="260">
        <v>25.805661999999998</v>
      </c>
      <c r="AO167" s="260">
        <v>25.838246999999999</v>
      </c>
      <c r="AP167" s="260">
        <v>25.870683</v>
      </c>
      <c r="AQ167" s="260">
        <v>25.902970999999997</v>
      </c>
      <c r="AR167" s="260">
        <v>25.935108999999997</v>
      </c>
      <c r="AS167" s="260">
        <v>25.967098999999997</v>
      </c>
      <c r="AT167" s="260">
        <v>25.998939</v>
      </c>
      <c r="AU167" s="260">
        <v>26.030631</v>
      </c>
      <c r="AV167" s="260">
        <v>26.062173999999999</v>
      </c>
      <c r="AW167" s="260">
        <v>26.093567999999998</v>
      </c>
      <c r="AX167" s="260">
        <v>26.124813</v>
      </c>
      <c r="AY167" s="260">
        <v>26.155909999999999</v>
      </c>
      <c r="AZ167" s="260">
        <v>26.186857999999997</v>
      </c>
      <c r="BA167" s="260">
        <v>26.217656999999999</v>
      </c>
      <c r="BB167" s="260">
        <v>26.248308999999999</v>
      </c>
      <c r="BC167" s="260">
        <v>26.278810999999997</v>
      </c>
      <c r="BD167" s="260">
        <v>26.309165999999998</v>
      </c>
      <c r="BE167" s="260">
        <v>26.339372999999998</v>
      </c>
      <c r="BF167" s="260">
        <v>26.369430999999999</v>
      </c>
      <c r="BG167" s="260">
        <v>26.399341999999997</v>
      </c>
      <c r="BH167" s="260">
        <v>26.429105999999997</v>
      </c>
      <c r="BI167" s="260">
        <v>26.458721999999998</v>
      </c>
      <c r="BJ167" s="260">
        <v>26.488191</v>
      </c>
      <c r="BK167" s="260">
        <v>26.517512</v>
      </c>
      <c r="BL167" s="260">
        <v>26.546686999999999</v>
      </c>
      <c r="BM167" s="260">
        <v>26.575714999999999</v>
      </c>
      <c r="BN167" s="260">
        <v>26.604596999999998</v>
      </c>
      <c r="BO167" s="260">
        <v>26.633333</v>
      </c>
      <c r="BP167" s="260">
        <v>26.661922000000001</v>
      </c>
      <c r="BQ167" s="260">
        <v>26.690365999999997</v>
      </c>
      <c r="BR167" s="260">
        <v>26.718664999999998</v>
      </c>
      <c r="BS167" s="260">
        <v>26.746817999999998</v>
      </c>
      <c r="BT167" s="260">
        <v>26.774825999999997</v>
      </c>
      <c r="BU167" s="260">
        <v>26.802689999999998</v>
      </c>
      <c r="BV167" s="260">
        <v>26.830409</v>
      </c>
      <c r="BW167" s="260">
        <v>26.857983999999998</v>
      </c>
      <c r="BX167" s="260">
        <v>26.885414999999998</v>
      </c>
      <c r="BY167" s="260">
        <v>26.912703</v>
      </c>
      <c r="BZ167" s="260">
        <v>26.939847</v>
      </c>
      <c r="CA167" s="260">
        <v>26.966849</v>
      </c>
      <c r="CB167" s="260">
        <v>26.993707999999998</v>
      </c>
      <c r="CC167" s="260">
        <v>27.020424999999999</v>
      </c>
      <c r="CD167" s="260">
        <v>27.046999999999997</v>
      </c>
      <c r="CE167" s="260">
        <v>27.073433999999999</v>
      </c>
      <c r="CF167" s="260">
        <v>27.099726</v>
      </c>
      <c r="CG167" s="260">
        <v>27.125876999999999</v>
      </c>
      <c r="CH167" s="260">
        <v>27.151888</v>
      </c>
    </row>
    <row r="168" spans="1:86" x14ac:dyDescent="0.25">
      <c r="A168" s="170">
        <v>2</v>
      </c>
      <c r="B168" s="170">
        <v>57</v>
      </c>
      <c r="C168" s="259">
        <v>24.054445266723633</v>
      </c>
      <c r="D168" s="259">
        <v>24.11723518371582</v>
      </c>
      <c r="E168" s="259">
        <v>24.179311752319336</v>
      </c>
      <c r="F168" s="259">
        <v>24.240678787231445</v>
      </c>
      <c r="G168" s="259">
        <v>24.301345825195313</v>
      </c>
      <c r="H168" s="259">
        <v>24.361316680908203</v>
      </c>
      <c r="I168" s="260">
        <v>24.196334</v>
      </c>
      <c r="J168" s="260">
        <v>24.235823</v>
      </c>
      <c r="K168" s="260">
        <v>24.274780999999997</v>
      </c>
      <c r="L168" s="260">
        <v>24.313268999999998</v>
      </c>
      <c r="M168" s="260">
        <v>24.351340999999998</v>
      </c>
      <c r="N168" s="260">
        <v>24.389047999999999</v>
      </c>
      <c r="O168" s="260">
        <v>24.426435999999999</v>
      </c>
      <c r="P168" s="260">
        <v>24.463545</v>
      </c>
      <c r="Q168" s="260">
        <v>24.500409999999999</v>
      </c>
      <c r="R168" s="260">
        <v>24.53706</v>
      </c>
      <c r="S168" s="260">
        <v>24.573519999999998</v>
      </c>
      <c r="T168" s="260">
        <v>24.609807999999997</v>
      </c>
      <c r="U168" s="260">
        <v>24.645938999999998</v>
      </c>
      <c r="V168" s="260">
        <v>24.681919999999998</v>
      </c>
      <c r="W168" s="260">
        <v>24.717753999999999</v>
      </c>
      <c r="X168" s="260">
        <v>24.753442</v>
      </c>
      <c r="Y168" s="260">
        <v>24.788981999999997</v>
      </c>
      <c r="Z168" s="260">
        <v>24.824373999999999</v>
      </c>
      <c r="AA168" s="260">
        <v>24.859618999999999</v>
      </c>
      <c r="AB168" s="260">
        <v>24.894715999999999</v>
      </c>
      <c r="AC168" s="260">
        <v>24.929663999999999</v>
      </c>
      <c r="AD168" s="260">
        <v>24.964462999999999</v>
      </c>
      <c r="AE168" s="260">
        <v>24.999113999999999</v>
      </c>
      <c r="AF168" s="260">
        <v>25.033615999999999</v>
      </c>
      <c r="AG168" s="260">
        <v>25.067968999999998</v>
      </c>
      <c r="AH168" s="260">
        <v>25.102173000000001</v>
      </c>
      <c r="AI168" s="260">
        <v>25.136226999999998</v>
      </c>
      <c r="AJ168" s="260">
        <v>25.170131999999999</v>
      </c>
      <c r="AK168" s="260">
        <v>25.203886999999998</v>
      </c>
      <c r="AL168" s="260">
        <v>25.237493000000001</v>
      </c>
      <c r="AM168" s="260">
        <v>25.270948000000001</v>
      </c>
      <c r="AN168" s="260">
        <v>25.304254</v>
      </c>
      <c r="AO168" s="260">
        <v>25.337409999999998</v>
      </c>
      <c r="AP168" s="260">
        <v>25.370415999999999</v>
      </c>
      <c r="AQ168" s="260">
        <v>25.403271</v>
      </c>
      <c r="AR168" s="260">
        <v>25.435976999999998</v>
      </c>
      <c r="AS168" s="260">
        <v>25.468532</v>
      </c>
      <c r="AT168" s="260">
        <v>25.500937999999998</v>
      </c>
      <c r="AU168" s="260">
        <v>25.533192999999997</v>
      </c>
      <c r="AV168" s="260">
        <v>25.565297999999999</v>
      </c>
      <c r="AW168" s="260">
        <v>25.597252999999998</v>
      </c>
      <c r="AX168" s="260">
        <v>25.629058000000001</v>
      </c>
      <c r="AY168" s="260">
        <v>25.660712999999998</v>
      </c>
      <c r="AZ168" s="260">
        <v>25.692218999999998</v>
      </c>
      <c r="BA168" s="260">
        <v>25.723573999999999</v>
      </c>
      <c r="BB168" s="260">
        <v>25.754778999999999</v>
      </c>
      <c r="BC168" s="260">
        <v>25.785834999999999</v>
      </c>
      <c r="BD168" s="260">
        <v>25.816741</v>
      </c>
      <c r="BE168" s="260">
        <v>25.847497999999998</v>
      </c>
      <c r="BF168" s="260">
        <v>25.878105999999999</v>
      </c>
      <c r="BG168" s="260">
        <v>25.908563999999998</v>
      </c>
      <c r="BH168" s="260">
        <v>25.938872999999997</v>
      </c>
      <c r="BI168" s="260">
        <v>25.969033</v>
      </c>
      <c r="BJ168" s="260">
        <v>25.999044999999999</v>
      </c>
      <c r="BK168" s="260">
        <v>26.028907</v>
      </c>
      <c r="BL168" s="260">
        <v>26.058622</v>
      </c>
      <c r="BM168" s="260">
        <v>26.088187999999999</v>
      </c>
      <c r="BN168" s="260">
        <v>26.117605999999999</v>
      </c>
      <c r="BO168" s="260">
        <v>26.146877</v>
      </c>
      <c r="BP168" s="260">
        <v>26.175999999999998</v>
      </c>
      <c r="BQ168" s="260">
        <v>26.204974999999997</v>
      </c>
      <c r="BR168" s="260">
        <v>26.233803999999999</v>
      </c>
      <c r="BS168" s="260">
        <v>26.262484999999998</v>
      </c>
      <c r="BT168" s="260">
        <v>26.29102</v>
      </c>
      <c r="BU168" s="260">
        <v>26.319409</v>
      </c>
      <c r="BV168" s="260">
        <v>26.347650999999999</v>
      </c>
      <c r="BW168" s="260">
        <v>26.375747999999998</v>
      </c>
      <c r="BX168" s="260">
        <v>26.403699</v>
      </c>
      <c r="BY168" s="260">
        <v>26.431504999999998</v>
      </c>
      <c r="BZ168" s="260">
        <v>26.459166</v>
      </c>
      <c r="CA168" s="260">
        <v>26.486681999999998</v>
      </c>
      <c r="CB168" s="260">
        <v>26.514053999999998</v>
      </c>
      <c r="CC168" s="260">
        <v>26.541281999999999</v>
      </c>
      <c r="CD168" s="260">
        <v>26.568365999999997</v>
      </c>
      <c r="CE168" s="260">
        <v>26.595306999999998</v>
      </c>
      <c r="CF168" s="260">
        <v>26.622104999999998</v>
      </c>
      <c r="CG168" s="260">
        <v>26.648759999999999</v>
      </c>
      <c r="CH168" s="260">
        <v>26.675273999999998</v>
      </c>
    </row>
    <row r="169" spans="1:86" x14ac:dyDescent="0.25">
      <c r="A169" s="170">
        <v>2</v>
      </c>
      <c r="B169" s="170">
        <v>58</v>
      </c>
      <c r="C169" s="259">
        <v>23.512964248657227</v>
      </c>
      <c r="D169" s="259">
        <v>23.576555252075195</v>
      </c>
      <c r="E169" s="259">
        <v>23.639438629150391</v>
      </c>
      <c r="F169" s="259">
        <v>23.701614379882813</v>
      </c>
      <c r="G169" s="259">
        <v>23.763093948364258</v>
      </c>
      <c r="H169" s="259">
        <v>23.823881149291992</v>
      </c>
      <c r="I169" s="260">
        <v>23.66798</v>
      </c>
      <c r="J169" s="260">
        <v>23.708200999999999</v>
      </c>
      <c r="K169" s="260">
        <v>23.747857999999997</v>
      </c>
      <c r="L169" s="260">
        <v>23.787015999999998</v>
      </c>
      <c r="M169" s="260">
        <v>23.825734000000001</v>
      </c>
      <c r="N169" s="260">
        <v>23.864069000000001</v>
      </c>
      <c r="O169" s="260">
        <v>23.902068999999997</v>
      </c>
      <c r="P169" s="260">
        <v>23.939778999999998</v>
      </c>
      <c r="Q169" s="260">
        <v>23.977235999999998</v>
      </c>
      <c r="R169" s="260">
        <v>24.014474</v>
      </c>
      <c r="S169" s="260">
        <v>24.051517</v>
      </c>
      <c r="T169" s="260">
        <v>24.088386999999997</v>
      </c>
      <c r="U169" s="260">
        <v>24.125097999999998</v>
      </c>
      <c r="V169" s="260">
        <v>24.161659</v>
      </c>
      <c r="W169" s="260">
        <v>24.198072999999997</v>
      </c>
      <c r="X169" s="260">
        <v>24.234338999999999</v>
      </c>
      <c r="Y169" s="260">
        <v>24.270457999999998</v>
      </c>
      <c r="Z169" s="260">
        <v>24.306428</v>
      </c>
      <c r="AA169" s="260">
        <v>24.34225</v>
      </c>
      <c r="AB169" s="260">
        <v>24.377922999999999</v>
      </c>
      <c r="AC169" s="260">
        <v>24.413446999999998</v>
      </c>
      <c r="AD169" s="260">
        <v>24.448822</v>
      </c>
      <c r="AE169" s="260">
        <v>24.484047999999998</v>
      </c>
      <c r="AF169" s="260">
        <v>24.519123999999998</v>
      </c>
      <c r="AG169" s="260">
        <v>24.55405</v>
      </c>
      <c r="AH169" s="260">
        <v>24.588825999999997</v>
      </c>
      <c r="AI169" s="260">
        <v>24.623452</v>
      </c>
      <c r="AJ169" s="260">
        <v>24.657927999999998</v>
      </c>
      <c r="AK169" s="260">
        <v>24.692252999999997</v>
      </c>
      <c r="AL169" s="260">
        <v>24.726426999999997</v>
      </c>
      <c r="AM169" s="260">
        <v>24.760451</v>
      </c>
      <c r="AN169" s="260">
        <v>24.794324</v>
      </c>
      <c r="AO169" s="260">
        <v>24.828046000000001</v>
      </c>
      <c r="AP169" s="260">
        <v>24.861616999999999</v>
      </c>
      <c r="AQ169" s="260">
        <v>24.895036999999999</v>
      </c>
      <c r="AR169" s="260">
        <v>24.928305999999999</v>
      </c>
      <c r="AS169" s="260">
        <v>24.961423999999997</v>
      </c>
      <c r="AT169" s="260">
        <v>24.994389999999999</v>
      </c>
      <c r="AU169" s="260">
        <v>25.027204999999999</v>
      </c>
      <c r="AV169" s="260">
        <v>25.059868999999999</v>
      </c>
      <c r="AW169" s="260">
        <v>25.092382000000001</v>
      </c>
      <c r="AX169" s="260">
        <v>25.124742999999999</v>
      </c>
      <c r="AY169" s="260">
        <v>25.156952999999998</v>
      </c>
      <c r="AZ169" s="260">
        <v>25.189012999999999</v>
      </c>
      <c r="BA169" s="260">
        <v>25.220921000000001</v>
      </c>
      <c r="BB169" s="260">
        <v>25.252676999999998</v>
      </c>
      <c r="BC169" s="260">
        <v>25.284282999999999</v>
      </c>
      <c r="BD169" s="260">
        <v>25.315738</v>
      </c>
      <c r="BE169" s="260">
        <v>25.347042999999999</v>
      </c>
      <c r="BF169" s="260">
        <v>25.378195999999999</v>
      </c>
      <c r="BG169" s="260">
        <v>25.409198999999997</v>
      </c>
      <c r="BH169" s="260">
        <v>25.440051999999998</v>
      </c>
      <c r="BI169" s="260">
        <v>25.470753999999999</v>
      </c>
      <c r="BJ169" s="260">
        <v>25.501306</v>
      </c>
      <c r="BK169" s="260">
        <v>25.531707999999998</v>
      </c>
      <c r="BL169" s="260">
        <v>25.561959999999999</v>
      </c>
      <c r="BM169" s="260">
        <v>25.592061999999999</v>
      </c>
      <c r="BN169" s="260">
        <v>25.622014999999998</v>
      </c>
      <c r="BO169" s="260">
        <v>25.651819</v>
      </c>
      <c r="BP169" s="260">
        <v>25.681473</v>
      </c>
      <c r="BQ169" s="260">
        <v>25.710978999999998</v>
      </c>
      <c r="BR169" s="260">
        <v>25.740334999999998</v>
      </c>
      <c r="BS169" s="260">
        <v>25.769544</v>
      </c>
      <c r="BT169" s="260">
        <v>25.798603999999997</v>
      </c>
      <c r="BU169" s="260">
        <v>25.827515999999999</v>
      </c>
      <c r="BV169" s="260">
        <v>25.856280999999999</v>
      </c>
      <c r="BW169" s="260">
        <v>25.884898</v>
      </c>
      <c r="BX169" s="260">
        <v>25.913367999999998</v>
      </c>
      <c r="BY169" s="260">
        <v>25.941690999999999</v>
      </c>
      <c r="BZ169" s="260">
        <v>25.969866999999997</v>
      </c>
      <c r="CA169" s="260">
        <v>25.997896999999998</v>
      </c>
      <c r="CB169" s="260">
        <v>26.025780999999998</v>
      </c>
      <c r="CC169" s="260">
        <v>26.053519999999999</v>
      </c>
      <c r="CD169" s="260">
        <v>26.081112999999998</v>
      </c>
      <c r="CE169" s="260">
        <v>26.108560999999998</v>
      </c>
      <c r="CF169" s="260">
        <v>26.135863999999998</v>
      </c>
      <c r="CG169" s="260">
        <v>26.163022999999999</v>
      </c>
      <c r="CH169" s="260">
        <v>26.190037</v>
      </c>
    </row>
    <row r="170" spans="1:86" x14ac:dyDescent="0.25">
      <c r="A170" s="170">
        <v>2</v>
      </c>
      <c r="B170" s="170">
        <v>59</v>
      </c>
      <c r="C170" s="259">
        <v>22.964450836181641</v>
      </c>
      <c r="D170" s="259">
        <v>23.028757095336914</v>
      </c>
      <c r="E170" s="259">
        <v>23.092361450195313</v>
      </c>
      <c r="F170" s="259">
        <v>23.155265808105469</v>
      </c>
      <c r="G170" s="259">
        <v>23.217477798461914</v>
      </c>
      <c r="H170" s="259">
        <v>23.279003143310547</v>
      </c>
      <c r="I170" s="260">
        <v>23.130516999999998</v>
      </c>
      <c r="J170" s="260">
        <v>23.171482999999998</v>
      </c>
      <c r="K170" s="260">
        <v>23.211848</v>
      </c>
      <c r="L170" s="260">
        <v>23.251681999999999</v>
      </c>
      <c r="M170" s="260">
        <v>23.291052000000001</v>
      </c>
      <c r="N170" s="260">
        <v>23.330016000000001</v>
      </c>
      <c r="O170" s="260">
        <v>23.368628999999999</v>
      </c>
      <c r="P170" s="260">
        <v>23.406939999999999</v>
      </c>
      <c r="Q170" s="260">
        <v>23.444987999999999</v>
      </c>
      <c r="R170" s="260">
        <v>23.482810999999998</v>
      </c>
      <c r="S170" s="260">
        <v>23.520434999999999</v>
      </c>
      <c r="T170" s="260">
        <v>23.557883999999998</v>
      </c>
      <c r="U170" s="260">
        <v>23.595172999999999</v>
      </c>
      <c r="V170" s="260">
        <v>23.632311999999999</v>
      </c>
      <c r="W170" s="260">
        <v>23.669301999999998</v>
      </c>
      <c r="X170" s="260">
        <v>23.706144999999999</v>
      </c>
      <c r="Y170" s="260">
        <v>23.742839999999998</v>
      </c>
      <c r="Z170" s="260">
        <v>23.779385999999999</v>
      </c>
      <c r="AA170" s="260">
        <v>23.815783999999997</v>
      </c>
      <c r="AB170" s="260">
        <v>23.852031999999998</v>
      </c>
      <c r="AC170" s="260">
        <v>23.88813</v>
      </c>
      <c r="AD170" s="260">
        <v>23.924078999999999</v>
      </c>
      <c r="AE170" s="260">
        <v>23.959878</v>
      </c>
      <c r="AF170" s="260">
        <v>23.995525999999998</v>
      </c>
      <c r="AG170" s="260">
        <v>24.031023999999999</v>
      </c>
      <c r="AH170" s="260">
        <v>24.066371999999998</v>
      </c>
      <c r="AI170" s="260">
        <v>24.101568</v>
      </c>
      <c r="AJ170" s="260">
        <v>24.136613999999998</v>
      </c>
      <c r="AK170" s="260">
        <v>24.171507999999999</v>
      </c>
      <c r="AL170" s="260">
        <v>24.206250999999998</v>
      </c>
      <c r="AM170" s="260">
        <v>24.240842000000001</v>
      </c>
      <c r="AN170" s="260">
        <v>24.275281</v>
      </c>
      <c r="AO170" s="260">
        <v>24.309569</v>
      </c>
      <c r="AP170" s="260">
        <v>24.343705</v>
      </c>
      <c r="AQ170" s="260">
        <v>24.377687999999999</v>
      </c>
      <c r="AR170" s="260">
        <v>24.411519999999999</v>
      </c>
      <c r="AS170" s="260">
        <v>24.4452</v>
      </c>
      <c r="AT170" s="260">
        <v>24.478726999999999</v>
      </c>
      <c r="AU170" s="260">
        <v>24.512101999999999</v>
      </c>
      <c r="AV170" s="260">
        <v>24.545323999999997</v>
      </c>
      <c r="AW170" s="260">
        <v>24.578395</v>
      </c>
      <c r="AX170" s="260">
        <v>24.611312999999999</v>
      </c>
      <c r="AY170" s="260">
        <v>24.644078</v>
      </c>
      <c r="AZ170" s="260">
        <v>24.676691999999999</v>
      </c>
      <c r="BA170" s="260">
        <v>24.709153000000001</v>
      </c>
      <c r="BB170" s="260">
        <v>24.741460999999997</v>
      </c>
      <c r="BC170" s="260">
        <v>24.773617999999999</v>
      </c>
      <c r="BD170" s="260">
        <v>24.805622</v>
      </c>
      <c r="BE170" s="260">
        <v>24.837474999999998</v>
      </c>
      <c r="BF170" s="260">
        <v>24.869174999999998</v>
      </c>
      <c r="BG170" s="260">
        <v>24.900724</v>
      </c>
      <c r="BH170" s="260">
        <v>24.932119999999998</v>
      </c>
      <c r="BI170" s="260">
        <v>24.963365</v>
      </c>
      <c r="BJ170" s="260">
        <v>24.994458999999999</v>
      </c>
      <c r="BK170" s="260">
        <v>25.025400999999999</v>
      </c>
      <c r="BL170" s="260">
        <v>25.056190999999998</v>
      </c>
      <c r="BM170" s="260">
        <v>25.086831</v>
      </c>
      <c r="BN170" s="260">
        <v>25.117319999999999</v>
      </c>
      <c r="BO170" s="260">
        <v>25.147658</v>
      </c>
      <c r="BP170" s="260">
        <v>25.177844999999998</v>
      </c>
      <c r="BQ170" s="260">
        <v>25.207881999999998</v>
      </c>
      <c r="BR170" s="260">
        <v>25.237769</v>
      </c>
      <c r="BS170" s="260">
        <v>25.267505</v>
      </c>
      <c r="BT170" s="260">
        <v>25.297091999999999</v>
      </c>
      <c r="BU170" s="260">
        <v>25.326529999999998</v>
      </c>
      <c r="BV170" s="260">
        <v>25.355817999999999</v>
      </c>
      <c r="BW170" s="260">
        <v>25.384957</v>
      </c>
      <c r="BX170" s="260">
        <v>25.413947999999998</v>
      </c>
      <c r="BY170" s="260">
        <v>25.442789999999999</v>
      </c>
      <c r="BZ170" s="260">
        <v>25.471482999999999</v>
      </c>
      <c r="CA170" s="260">
        <v>25.500028999999998</v>
      </c>
      <c r="CB170" s="260">
        <v>25.528426999999997</v>
      </c>
      <c r="CC170" s="260">
        <v>25.556677999999998</v>
      </c>
      <c r="CD170" s="260">
        <v>25.584782000000001</v>
      </c>
      <c r="CE170" s="260">
        <v>25.612738999999998</v>
      </c>
      <c r="CF170" s="260">
        <v>25.640549</v>
      </c>
      <c r="CG170" s="260">
        <v>25.668212999999998</v>
      </c>
      <c r="CH170" s="260">
        <v>25.695732</v>
      </c>
    </row>
    <row r="171" spans="1:86" x14ac:dyDescent="0.25">
      <c r="A171" s="170">
        <v>2</v>
      </c>
      <c r="B171" s="170">
        <v>60</v>
      </c>
      <c r="C171" s="259">
        <v>22.409290313720703</v>
      </c>
      <c r="D171" s="259">
        <v>22.474212646484375</v>
      </c>
      <c r="E171" s="259">
        <v>22.538440704345703</v>
      </c>
      <c r="F171" s="259">
        <v>22.601978302001953</v>
      </c>
      <c r="G171" s="259">
        <v>22.664831161499023</v>
      </c>
      <c r="H171" s="259">
        <v>22.727006912231445</v>
      </c>
      <c r="I171" s="260">
        <v>22.583862</v>
      </c>
      <c r="J171" s="260">
        <v>22.625591999999997</v>
      </c>
      <c r="K171" s="260">
        <v>22.666679999999999</v>
      </c>
      <c r="L171" s="260">
        <v>22.707201999999999</v>
      </c>
      <c r="M171" s="260">
        <v>22.747229999999998</v>
      </c>
      <c r="N171" s="260">
        <v>22.786828999999997</v>
      </c>
      <c r="O171" s="260">
        <v>22.826058</v>
      </c>
      <c r="P171" s="260">
        <v>22.86497</v>
      </c>
      <c r="Q171" s="260">
        <v>22.903608999999999</v>
      </c>
      <c r="R171" s="260">
        <v>22.942014</v>
      </c>
      <c r="S171" s="260">
        <v>22.980217</v>
      </c>
      <c r="T171" s="260">
        <v>23.018241999999997</v>
      </c>
      <c r="U171" s="260">
        <v>23.056104999999999</v>
      </c>
      <c r="V171" s="260">
        <v>23.093817999999999</v>
      </c>
      <c r="W171" s="260">
        <v>23.131383</v>
      </c>
      <c r="X171" s="260">
        <v>23.168799</v>
      </c>
      <c r="Y171" s="260">
        <v>23.206066999999997</v>
      </c>
      <c r="Z171" s="260">
        <v>23.243185999999998</v>
      </c>
      <c r="AA171" s="260">
        <v>23.280155999999998</v>
      </c>
      <c r="AB171" s="260">
        <v>23.316976999999998</v>
      </c>
      <c r="AC171" s="260">
        <v>23.353646999999999</v>
      </c>
      <c r="AD171" s="260">
        <v>23.390166999999998</v>
      </c>
      <c r="AE171" s="260">
        <v>23.426537</v>
      </c>
      <c r="AF171" s="260">
        <v>23.462755999999999</v>
      </c>
      <c r="AG171" s="260">
        <v>23.498823999999999</v>
      </c>
      <c r="AH171" s="260">
        <v>23.534741</v>
      </c>
      <c r="AI171" s="260">
        <v>23.570505999999998</v>
      </c>
      <c r="AJ171" s="260">
        <v>23.606119</v>
      </c>
      <c r="AK171" s="260">
        <v>23.641580999999999</v>
      </c>
      <c r="AL171" s="260">
        <v>23.67689</v>
      </c>
      <c r="AM171" s="260">
        <v>23.712046999999998</v>
      </c>
      <c r="AN171" s="260">
        <v>23.747050999999999</v>
      </c>
      <c r="AO171" s="260">
        <v>23.781903</v>
      </c>
      <c r="AP171" s="260">
        <v>23.816603000000001</v>
      </c>
      <c r="AQ171" s="260">
        <v>23.851148999999999</v>
      </c>
      <c r="AR171" s="260">
        <v>23.885541999999997</v>
      </c>
      <c r="AS171" s="260">
        <v>23.919782999999999</v>
      </c>
      <c r="AT171" s="260">
        <v>23.953869999999998</v>
      </c>
      <c r="AU171" s="260">
        <v>23.987804000000001</v>
      </c>
      <c r="AV171" s="260">
        <v>24.021583999999997</v>
      </c>
      <c r="AW171" s="260">
        <v>24.055211</v>
      </c>
      <c r="AX171" s="260">
        <v>24.088684999999998</v>
      </c>
      <c r="AY171" s="260">
        <v>24.122005999999999</v>
      </c>
      <c r="AZ171" s="260">
        <v>24.155172999999998</v>
      </c>
      <c r="BA171" s="260">
        <v>24.188186999999999</v>
      </c>
      <c r="BB171" s="260">
        <v>24.221046999999999</v>
      </c>
      <c r="BC171" s="260">
        <v>24.253753999999997</v>
      </c>
      <c r="BD171" s="260">
        <v>24.286306999999997</v>
      </c>
      <c r="BE171" s="260">
        <v>24.318707999999997</v>
      </c>
      <c r="BF171" s="260">
        <v>24.350954999999999</v>
      </c>
      <c r="BG171" s="260">
        <v>24.383049</v>
      </c>
      <c r="BH171" s="260">
        <v>24.41499</v>
      </c>
      <c r="BI171" s="260">
        <v>24.446777999999998</v>
      </c>
      <c r="BJ171" s="260">
        <v>24.478413</v>
      </c>
      <c r="BK171" s="260">
        <v>24.509895999999998</v>
      </c>
      <c r="BL171" s="260">
        <v>24.541224999999997</v>
      </c>
      <c r="BM171" s="260">
        <v>24.572402999999998</v>
      </c>
      <c r="BN171" s="260">
        <v>24.603427999999997</v>
      </c>
      <c r="BO171" s="260">
        <v>24.634300999999997</v>
      </c>
      <c r="BP171" s="260">
        <v>24.665020999999999</v>
      </c>
      <c r="BQ171" s="260">
        <v>24.695591</v>
      </c>
      <c r="BR171" s="260">
        <v>24.726008</v>
      </c>
      <c r="BS171" s="260">
        <v>24.756273999999998</v>
      </c>
      <c r="BT171" s="260">
        <v>24.786389</v>
      </c>
      <c r="BU171" s="260">
        <v>24.816351999999998</v>
      </c>
      <c r="BV171" s="260">
        <v>24.846164999999999</v>
      </c>
      <c r="BW171" s="260">
        <v>24.875827999999998</v>
      </c>
      <c r="BX171" s="260">
        <v>24.905339999999999</v>
      </c>
      <c r="BY171" s="260">
        <v>24.934701999999998</v>
      </c>
      <c r="BZ171" s="260">
        <v>24.963913999999999</v>
      </c>
      <c r="CA171" s="260">
        <v>24.992977</v>
      </c>
      <c r="CB171" s="260">
        <v>25.021889999999999</v>
      </c>
      <c r="CC171" s="260">
        <v>25.050654999999999</v>
      </c>
      <c r="CD171" s="260">
        <v>25.079269999999998</v>
      </c>
      <c r="CE171" s="260">
        <v>25.107737999999998</v>
      </c>
      <c r="CF171" s="260">
        <v>25.136056999999997</v>
      </c>
      <c r="CG171" s="260">
        <v>25.164228999999999</v>
      </c>
      <c r="CH171" s="260">
        <v>25.192252999999997</v>
      </c>
    </row>
    <row r="172" spans="1:86" x14ac:dyDescent="0.25">
      <c r="A172" s="170">
        <v>2</v>
      </c>
      <c r="B172" s="170">
        <v>61</v>
      </c>
      <c r="C172" s="259">
        <v>21.849618911743164</v>
      </c>
      <c r="D172" s="259">
        <v>21.915300369262695</v>
      </c>
      <c r="E172" s="259">
        <v>21.980287551879883</v>
      </c>
      <c r="F172" s="259">
        <v>22.044586181640625</v>
      </c>
      <c r="G172" s="259">
        <v>22.10820198059082</v>
      </c>
      <c r="H172" s="259">
        <v>22.171138763427734</v>
      </c>
      <c r="I172" s="260">
        <v>22.028718999999999</v>
      </c>
      <c r="J172" s="260">
        <v>22.071227</v>
      </c>
      <c r="K172" s="260">
        <v>22.113045</v>
      </c>
      <c r="L172" s="260">
        <v>22.154259</v>
      </c>
      <c r="M172" s="260">
        <v>22.194946999999999</v>
      </c>
      <c r="N172" s="260">
        <v>22.23518</v>
      </c>
      <c r="O172" s="260">
        <v>22.275020999999999</v>
      </c>
      <c r="P172" s="260">
        <v>22.314527999999999</v>
      </c>
      <c r="Q172" s="260">
        <v>22.353750999999999</v>
      </c>
      <c r="R172" s="260">
        <v>22.392730999999998</v>
      </c>
      <c r="S172" s="260">
        <v>22.431502999999999</v>
      </c>
      <c r="T172" s="260">
        <v>22.470092999999999</v>
      </c>
      <c r="U172" s="260">
        <v>22.508520999999998</v>
      </c>
      <c r="V172" s="260">
        <v>22.546797999999999</v>
      </c>
      <c r="W172" s="260">
        <v>22.584927999999998</v>
      </c>
      <c r="X172" s="260">
        <v>22.622907999999999</v>
      </c>
      <c r="Y172" s="260">
        <v>22.660740999999998</v>
      </c>
      <c r="Z172" s="260">
        <v>22.698423999999999</v>
      </c>
      <c r="AA172" s="260">
        <v>22.735956999999999</v>
      </c>
      <c r="AB172" s="260">
        <v>22.773340999999999</v>
      </c>
      <c r="AC172" s="260">
        <v>22.810573999999999</v>
      </c>
      <c r="AD172" s="260">
        <v>22.847656999999998</v>
      </c>
      <c r="AE172" s="260">
        <v>22.884589999999999</v>
      </c>
      <c r="AF172" s="260">
        <v>22.921371000000001</v>
      </c>
      <c r="AG172" s="260">
        <v>22.957999999999998</v>
      </c>
      <c r="AH172" s="260">
        <v>22.994477999999997</v>
      </c>
      <c r="AI172" s="260">
        <v>23.030804</v>
      </c>
      <c r="AJ172" s="260">
        <v>23.066976999999998</v>
      </c>
      <c r="AK172" s="260">
        <v>23.102999000000001</v>
      </c>
      <c r="AL172" s="260">
        <v>23.138866999999998</v>
      </c>
      <c r="AM172" s="260">
        <v>23.174582999999998</v>
      </c>
      <c r="AN172" s="260">
        <v>23.210145000000001</v>
      </c>
      <c r="AO172" s="260">
        <v>23.245553999999998</v>
      </c>
      <c r="AP172" s="260">
        <v>23.280809999999999</v>
      </c>
      <c r="AQ172" s="260">
        <v>23.315911999999997</v>
      </c>
      <c r="AR172" s="260">
        <v>23.350859999999997</v>
      </c>
      <c r="AS172" s="260">
        <v>23.385655</v>
      </c>
      <c r="AT172" s="260">
        <v>23.420294999999999</v>
      </c>
      <c r="AU172" s="260">
        <v>23.454781999999998</v>
      </c>
      <c r="AV172" s="260">
        <v>23.489113999999997</v>
      </c>
      <c r="AW172" s="260">
        <v>23.523291999999998</v>
      </c>
      <c r="AX172" s="260">
        <v>23.557316</v>
      </c>
      <c r="AY172" s="260">
        <v>23.591184999999999</v>
      </c>
      <c r="AZ172" s="260">
        <v>23.624900999999998</v>
      </c>
      <c r="BA172" s="260">
        <v>23.658460999999999</v>
      </c>
      <c r="BB172" s="260">
        <v>23.691867999999999</v>
      </c>
      <c r="BC172" s="260">
        <v>23.725118999999999</v>
      </c>
      <c r="BD172" s="260">
        <v>23.758216999999998</v>
      </c>
      <c r="BE172" s="260">
        <v>23.791159999999998</v>
      </c>
      <c r="BF172" s="260">
        <v>23.823948999999999</v>
      </c>
      <c r="BG172" s="260">
        <v>23.856583999999998</v>
      </c>
      <c r="BH172" s="260">
        <v>23.889063999999998</v>
      </c>
      <c r="BI172" s="260">
        <v>23.921389999999999</v>
      </c>
      <c r="BJ172" s="260">
        <v>23.953562999999999</v>
      </c>
      <c r="BK172" s="260">
        <v>23.985581</v>
      </c>
      <c r="BL172" s="260">
        <v>24.017444999999999</v>
      </c>
      <c r="BM172" s="260">
        <v>24.049156</v>
      </c>
      <c r="BN172" s="260">
        <v>24.080712999999999</v>
      </c>
      <c r="BO172" s="260">
        <v>24.112116999999998</v>
      </c>
      <c r="BP172" s="260">
        <v>24.143366999999998</v>
      </c>
      <c r="BQ172" s="260">
        <v>24.174464</v>
      </c>
      <c r="BR172" s="260">
        <v>24.205409</v>
      </c>
      <c r="BS172" s="260">
        <v>24.2362</v>
      </c>
      <c r="BT172" s="260">
        <v>24.266838999999997</v>
      </c>
      <c r="BU172" s="260">
        <v>24.297324999999997</v>
      </c>
      <c r="BV172" s="260">
        <v>24.327659000000001</v>
      </c>
      <c r="BW172" s="260">
        <v>24.357841000000001</v>
      </c>
      <c r="BX172" s="260">
        <v>24.387871999999998</v>
      </c>
      <c r="BY172" s="260">
        <v>24.417750999999999</v>
      </c>
      <c r="BZ172" s="260">
        <v>24.447478</v>
      </c>
      <c r="CA172" s="260">
        <v>24.477055</v>
      </c>
      <c r="CB172" s="260">
        <v>24.506480999999997</v>
      </c>
      <c r="CC172" s="260">
        <v>24.535755999999999</v>
      </c>
      <c r="CD172" s="260">
        <v>24.564881</v>
      </c>
      <c r="CE172" s="260">
        <v>24.593857</v>
      </c>
      <c r="CF172" s="260">
        <v>24.622681999999998</v>
      </c>
      <c r="CG172" s="260">
        <v>24.651357999999998</v>
      </c>
      <c r="CH172" s="260">
        <v>24.679886</v>
      </c>
    </row>
    <row r="173" spans="1:86" x14ac:dyDescent="0.25">
      <c r="A173" s="170">
        <v>2</v>
      </c>
      <c r="B173" s="170">
        <v>62</v>
      </c>
      <c r="C173" s="259">
        <v>21.282474517822266</v>
      </c>
      <c r="D173" s="259">
        <v>21.348855972290039</v>
      </c>
      <c r="E173" s="259">
        <v>21.414545059204102</v>
      </c>
      <c r="F173" s="259">
        <v>21.479549407958984</v>
      </c>
      <c r="G173" s="259">
        <v>21.54387092590332</v>
      </c>
      <c r="H173" s="259">
        <v>21.607513427734375</v>
      </c>
      <c r="I173" s="260">
        <v>21.466452999999998</v>
      </c>
      <c r="J173" s="260">
        <v>21.509733000000001</v>
      </c>
      <c r="K173" s="260">
        <v>21.552274999999998</v>
      </c>
      <c r="L173" s="260">
        <v>21.594169999999998</v>
      </c>
      <c r="M173" s="260">
        <v>21.635503999999997</v>
      </c>
      <c r="N173" s="260">
        <v>21.676354</v>
      </c>
      <c r="O173" s="260">
        <v>21.71679</v>
      </c>
      <c r="P173" s="260">
        <v>21.756874</v>
      </c>
      <c r="Q173" s="260">
        <v>21.796659999999999</v>
      </c>
      <c r="R173" s="260">
        <v>21.836193999999999</v>
      </c>
      <c r="S173" s="260">
        <v>21.875513999999999</v>
      </c>
      <c r="T173" s="260">
        <v>21.914649999999998</v>
      </c>
      <c r="U173" s="260">
        <v>21.953621999999999</v>
      </c>
      <c r="V173" s="260">
        <v>21.992442</v>
      </c>
      <c r="W173" s="260">
        <v>22.031115</v>
      </c>
      <c r="X173" s="260">
        <v>22.069638999999999</v>
      </c>
      <c r="Y173" s="260">
        <v>22.108014999999998</v>
      </c>
      <c r="Z173" s="260">
        <v>22.146241999999997</v>
      </c>
      <c r="AA173" s="260">
        <v>22.18432</v>
      </c>
      <c r="AB173" s="260">
        <v>22.222246999999999</v>
      </c>
      <c r="AC173" s="260">
        <v>22.260024999999999</v>
      </c>
      <c r="AD173" s="260">
        <v>22.297650999999998</v>
      </c>
      <c r="AE173" s="260">
        <v>22.335127</v>
      </c>
      <c r="AF173" s="260">
        <v>22.372450999999998</v>
      </c>
      <c r="AG173" s="260">
        <v>22.409623999999997</v>
      </c>
      <c r="AH173" s="260">
        <v>22.446645</v>
      </c>
      <c r="AI173" s="260">
        <v>22.483512999999999</v>
      </c>
      <c r="AJ173" s="260">
        <v>22.520229</v>
      </c>
      <c r="AK173" s="260">
        <v>22.556791999999998</v>
      </c>
      <c r="AL173" s="260">
        <v>22.593201999999998</v>
      </c>
      <c r="AM173" s="260">
        <v>22.629459000000001</v>
      </c>
      <c r="AN173" s="260">
        <v>22.665561999999998</v>
      </c>
      <c r="AO173" s="260">
        <v>22.701511</v>
      </c>
      <c r="AP173" s="260">
        <v>22.737306999999998</v>
      </c>
      <c r="AQ173" s="260">
        <v>22.772948</v>
      </c>
      <c r="AR173" s="260">
        <v>22.808434999999999</v>
      </c>
      <c r="AS173" s="260">
        <v>22.843768000000001</v>
      </c>
      <c r="AT173" s="260">
        <v>22.878945999999999</v>
      </c>
      <c r="AU173" s="260">
        <v>22.913968999999998</v>
      </c>
      <c r="AV173" s="260">
        <v>22.948837999999999</v>
      </c>
      <c r="AW173" s="260">
        <v>22.983550999999999</v>
      </c>
      <c r="AX173" s="260">
        <v>23.01811</v>
      </c>
      <c r="AY173" s="260">
        <v>23.052512999999998</v>
      </c>
      <c r="AZ173" s="260">
        <v>23.086762</v>
      </c>
      <c r="BA173" s="260">
        <v>23.120854999999999</v>
      </c>
      <c r="BB173" s="260">
        <v>23.154792999999998</v>
      </c>
      <c r="BC173" s="260">
        <v>23.188575</v>
      </c>
      <c r="BD173" s="260">
        <v>23.222203</v>
      </c>
      <c r="BE173" s="260">
        <v>23.255675</v>
      </c>
      <c r="BF173" s="260">
        <v>23.288992</v>
      </c>
      <c r="BG173" s="260">
        <v>23.322153</v>
      </c>
      <c r="BH173" s="260">
        <v>23.355159999999998</v>
      </c>
      <c r="BI173" s="260">
        <v>23.388010999999999</v>
      </c>
      <c r="BJ173" s="260">
        <v>23.420707</v>
      </c>
      <c r="BK173" s="260">
        <v>23.453249</v>
      </c>
      <c r="BL173" s="260">
        <v>23.485634999999998</v>
      </c>
      <c r="BM173" s="260">
        <v>23.517865999999998</v>
      </c>
      <c r="BN173" s="260">
        <v>23.549942999999999</v>
      </c>
      <c r="BO173" s="260">
        <v>23.581865999999998</v>
      </c>
      <c r="BP173" s="260">
        <v>23.613633</v>
      </c>
      <c r="BQ173" s="260">
        <v>23.645246999999998</v>
      </c>
      <c r="BR173" s="260">
        <v>23.676705999999999</v>
      </c>
      <c r="BS173" s="260">
        <v>23.708010999999999</v>
      </c>
      <c r="BT173" s="260">
        <v>23.739162999999998</v>
      </c>
      <c r="BU173" s="260">
        <v>23.770160000000001</v>
      </c>
      <c r="BV173" s="260">
        <v>23.801005</v>
      </c>
      <c r="BW173" s="260">
        <v>23.831695</v>
      </c>
      <c r="BX173" s="260">
        <v>23.862233</v>
      </c>
      <c r="BY173" s="260">
        <v>23.892617999999999</v>
      </c>
      <c r="BZ173" s="260">
        <v>23.922850999999998</v>
      </c>
      <c r="CA173" s="260">
        <v>23.952931</v>
      </c>
      <c r="CB173" s="260">
        <v>23.982858999999998</v>
      </c>
      <c r="CC173" s="260">
        <v>24.012635</v>
      </c>
      <c r="CD173" s="260">
        <v>24.042258999999998</v>
      </c>
      <c r="CE173" s="260">
        <v>24.071732999999998</v>
      </c>
      <c r="CF173" s="260">
        <v>24.101054999999999</v>
      </c>
      <c r="CG173" s="260">
        <v>24.130226</v>
      </c>
      <c r="CH173" s="260">
        <v>24.159247000000001</v>
      </c>
    </row>
    <row r="174" spans="1:86" x14ac:dyDescent="0.25">
      <c r="A174" s="170">
        <v>2</v>
      </c>
      <c r="B174" s="170">
        <v>63</v>
      </c>
      <c r="C174" s="259">
        <v>20.706769943237305</v>
      </c>
      <c r="D174" s="259">
        <v>20.773809432983398</v>
      </c>
      <c r="E174" s="259">
        <v>20.84016227722168</v>
      </c>
      <c r="F174" s="259">
        <v>20.905830383300781</v>
      </c>
      <c r="G174" s="259">
        <v>20.970817565917969</v>
      </c>
      <c r="H174" s="259">
        <v>21.035129547119141</v>
      </c>
      <c r="I174" s="260">
        <v>20.897617999999998</v>
      </c>
      <c r="J174" s="260">
        <v>20.941661</v>
      </c>
      <c r="K174" s="260">
        <v>20.984914999999997</v>
      </c>
      <c r="L174" s="260">
        <v>21.027476999999998</v>
      </c>
      <c r="M174" s="260">
        <v>21.06944</v>
      </c>
      <c r="N174" s="260">
        <v>21.110886999999998</v>
      </c>
      <c r="O174" s="260">
        <v>21.151896000000001</v>
      </c>
      <c r="P174" s="260">
        <v>21.192532999999997</v>
      </c>
      <c r="Q174" s="260">
        <v>21.232858</v>
      </c>
      <c r="R174" s="260">
        <v>21.272921999999998</v>
      </c>
      <c r="S174" s="260">
        <v>21.312763999999998</v>
      </c>
      <c r="T174" s="260">
        <v>21.352418999999998</v>
      </c>
      <c r="U174" s="260">
        <v>21.391907999999997</v>
      </c>
      <c r="V174" s="260">
        <v>21.431245999999998</v>
      </c>
      <c r="W174" s="260">
        <v>21.470437</v>
      </c>
      <c r="X174" s="260">
        <v>21.509478999999999</v>
      </c>
      <c r="Y174" s="260">
        <v>21.548373999999999</v>
      </c>
      <c r="Z174" s="260">
        <v>21.587118999999998</v>
      </c>
      <c r="AA174" s="260">
        <v>21.625716000000001</v>
      </c>
      <c r="AB174" s="260">
        <v>21.664162999999999</v>
      </c>
      <c r="AC174" s="260">
        <v>21.702458999999998</v>
      </c>
      <c r="AD174" s="260">
        <v>21.740606</v>
      </c>
      <c r="AE174" s="260">
        <v>21.778600999999998</v>
      </c>
      <c r="AF174" s="260">
        <v>21.816444999999998</v>
      </c>
      <c r="AG174" s="260">
        <v>21.854137999999999</v>
      </c>
      <c r="AH174" s="260">
        <v>21.891677999999999</v>
      </c>
      <c r="AI174" s="260">
        <v>21.929065999999999</v>
      </c>
      <c r="AJ174" s="260">
        <v>21.966301999999999</v>
      </c>
      <c r="AK174" s="260">
        <v>22.003384999999998</v>
      </c>
      <c r="AL174" s="260">
        <v>22.040313999999999</v>
      </c>
      <c r="AM174" s="260">
        <v>22.077089999999998</v>
      </c>
      <c r="AN174" s="260">
        <v>22.113712</v>
      </c>
      <c r="AO174" s="260">
        <v>22.150179999999999</v>
      </c>
      <c r="AP174" s="260">
        <v>22.186495000000001</v>
      </c>
      <c r="AQ174" s="260">
        <v>22.222653999999999</v>
      </c>
      <c r="AR174" s="260">
        <v>22.258658999999998</v>
      </c>
      <c r="AS174" s="260">
        <v>22.294508999999998</v>
      </c>
      <c r="AT174" s="260">
        <v>22.330203999999998</v>
      </c>
      <c r="AU174" s="260">
        <v>22.365743999999999</v>
      </c>
      <c r="AV174" s="260">
        <v>22.401128999999997</v>
      </c>
      <c r="AW174" s="260">
        <v>22.436357999999998</v>
      </c>
      <c r="AX174" s="260">
        <v>22.471432</v>
      </c>
      <c r="AY174" s="260">
        <v>22.506349999999998</v>
      </c>
      <c r="AZ174" s="260">
        <v>22.541112999999999</v>
      </c>
      <c r="BA174" s="260">
        <v>22.57572</v>
      </c>
      <c r="BB174" s="260">
        <v>22.61017</v>
      </c>
      <c r="BC174" s="260">
        <v>22.644465</v>
      </c>
      <c r="BD174" s="260">
        <v>22.678604</v>
      </c>
      <c r="BE174" s="260">
        <v>22.712586999999999</v>
      </c>
      <c r="BF174" s="260">
        <v>22.746413999999998</v>
      </c>
      <c r="BG174" s="260">
        <v>22.780085</v>
      </c>
      <c r="BH174" s="260">
        <v>22.813599999999997</v>
      </c>
      <c r="BI174" s="260">
        <v>22.846958999999998</v>
      </c>
      <c r="BJ174" s="260">
        <v>22.880161999999999</v>
      </c>
      <c r="BK174" s="260">
        <v>22.913209999999999</v>
      </c>
      <c r="BL174" s="260">
        <v>22.946100999999999</v>
      </c>
      <c r="BM174" s="260">
        <v>22.978836999999999</v>
      </c>
      <c r="BN174" s="260">
        <v>23.011416999999998</v>
      </c>
      <c r="BO174" s="260">
        <v>23.043841999999998</v>
      </c>
      <c r="BP174" s="260">
        <v>23.076110999999997</v>
      </c>
      <c r="BQ174" s="260">
        <v>23.108224999999997</v>
      </c>
      <c r="BR174" s="260">
        <v>23.140183</v>
      </c>
      <c r="BS174" s="260">
        <v>23.171986999999998</v>
      </c>
      <c r="BT174" s="260">
        <v>23.203635999999999</v>
      </c>
      <c r="BU174" s="260">
        <v>23.235129999999998</v>
      </c>
      <c r="BV174" s="260">
        <v>23.266468999999997</v>
      </c>
      <c r="BW174" s="260">
        <v>23.297653999999998</v>
      </c>
      <c r="BX174" s="260">
        <v>23.328685</v>
      </c>
      <c r="BY174" s="260">
        <v>23.359562</v>
      </c>
      <c r="BZ174" s="260">
        <v>23.390284999999999</v>
      </c>
      <c r="CA174" s="260">
        <v>23.420853999999999</v>
      </c>
      <c r="CB174" s="260">
        <v>23.451270999999998</v>
      </c>
      <c r="CC174" s="260">
        <v>23.481534</v>
      </c>
      <c r="CD174" s="260">
        <v>23.511644</v>
      </c>
      <c r="CE174" s="260">
        <v>23.541601999999997</v>
      </c>
      <c r="CF174" s="260">
        <v>23.571407000000001</v>
      </c>
      <c r="CG174" s="260">
        <v>23.60106</v>
      </c>
      <c r="CH174" s="260">
        <v>23.630561999999998</v>
      </c>
    </row>
    <row r="175" spans="1:86" x14ac:dyDescent="0.25">
      <c r="A175" s="170">
        <v>2</v>
      </c>
      <c r="B175" s="170">
        <v>64</v>
      </c>
      <c r="C175" s="259">
        <v>20.124988555908203</v>
      </c>
      <c r="D175" s="259">
        <v>20.192600250244141</v>
      </c>
      <c r="E175" s="259">
        <v>20.259527206420898</v>
      </c>
      <c r="F175" s="259">
        <v>20.325773239135742</v>
      </c>
      <c r="G175" s="259">
        <v>20.39134407043457</v>
      </c>
      <c r="H175" s="259">
        <v>20.456243515014648</v>
      </c>
      <c r="I175" s="260">
        <v>20.324774999999999</v>
      </c>
      <c r="J175" s="260">
        <v>20.369536999999998</v>
      </c>
      <c r="K175" s="260">
        <v>20.413456999999998</v>
      </c>
      <c r="L175" s="260">
        <v>20.45664</v>
      </c>
      <c r="M175" s="260">
        <v>20.499184</v>
      </c>
      <c r="N175" s="260">
        <v>20.541180000000001</v>
      </c>
      <c r="O175" s="260">
        <v>20.582712999999998</v>
      </c>
      <c r="P175" s="260">
        <v>20.623854999999999</v>
      </c>
      <c r="Q175" s="260">
        <v>20.664670999999998</v>
      </c>
      <c r="R175" s="260">
        <v>20.705214999999999</v>
      </c>
      <c r="S175" s="260">
        <v>20.745533999999999</v>
      </c>
      <c r="T175" s="260">
        <v>20.785660999999998</v>
      </c>
      <c r="U175" s="260">
        <v>20.825621999999999</v>
      </c>
      <c r="V175" s="260">
        <v>20.865431999999998</v>
      </c>
      <c r="W175" s="260">
        <v>20.905096</v>
      </c>
      <c r="X175" s="260">
        <v>20.944611999999999</v>
      </c>
      <c r="Y175" s="260">
        <v>20.983981</v>
      </c>
      <c r="Z175" s="260">
        <v>21.023201999999998</v>
      </c>
      <c r="AA175" s="260">
        <v>21.062273999999999</v>
      </c>
      <c r="AB175" s="260">
        <v>21.101196999999999</v>
      </c>
      <c r="AC175" s="260">
        <v>21.139969999999998</v>
      </c>
      <c r="AD175" s="260">
        <v>21.178594</v>
      </c>
      <c r="AE175" s="260">
        <v>21.217067</v>
      </c>
      <c r="AF175" s="260">
        <v>21.255388999999997</v>
      </c>
      <c r="AG175" s="260">
        <v>21.293559999999999</v>
      </c>
      <c r="AH175" s="260">
        <v>21.331579999999999</v>
      </c>
      <c r="AI175" s="260">
        <v>21.369446999999997</v>
      </c>
      <c r="AJ175" s="260">
        <v>21.407162</v>
      </c>
      <c r="AK175" s="260">
        <v>21.444724999999998</v>
      </c>
      <c r="AL175" s="260">
        <v>21.482133999999999</v>
      </c>
      <c r="AM175" s="260">
        <v>21.519389999999998</v>
      </c>
      <c r="AN175" s="260">
        <v>21.556493</v>
      </c>
      <c r="AO175" s="260">
        <v>21.593442</v>
      </c>
      <c r="AP175" s="260">
        <v>21.630236</v>
      </c>
      <c r="AQ175" s="260">
        <v>21.666875999999998</v>
      </c>
      <c r="AR175" s="260">
        <v>21.703361999999998</v>
      </c>
      <c r="AS175" s="260">
        <v>21.739691999999998</v>
      </c>
      <c r="AT175" s="260">
        <v>21.775867999999999</v>
      </c>
      <c r="AU175" s="260">
        <v>21.811888</v>
      </c>
      <c r="AV175" s="260">
        <v>21.847752999999997</v>
      </c>
      <c r="AW175" s="260">
        <v>21.883461999999998</v>
      </c>
      <c r="AX175" s="260">
        <v>21.919015999999999</v>
      </c>
      <c r="AY175" s="260">
        <v>21.954414</v>
      </c>
      <c r="AZ175" s="260">
        <v>21.989654999999999</v>
      </c>
      <c r="BA175" s="260">
        <v>22.024740999999999</v>
      </c>
      <c r="BB175" s="260">
        <v>22.059670999999998</v>
      </c>
      <c r="BC175" s="260">
        <v>22.094443999999999</v>
      </c>
      <c r="BD175" s="260">
        <v>22.129061</v>
      </c>
      <c r="BE175" s="260">
        <v>22.163520999999999</v>
      </c>
      <c r="BF175" s="260">
        <v>22.197824999999998</v>
      </c>
      <c r="BG175" s="260">
        <v>22.231973</v>
      </c>
      <c r="BH175" s="260">
        <v>22.265964</v>
      </c>
      <c r="BI175" s="260">
        <v>22.299799</v>
      </c>
      <c r="BJ175" s="260">
        <v>22.333477999999999</v>
      </c>
      <c r="BK175" s="260">
        <v>22.366999</v>
      </c>
      <c r="BL175" s="260">
        <v>22.400365000000001</v>
      </c>
      <c r="BM175" s="260">
        <v>22.433574</v>
      </c>
      <c r="BN175" s="260">
        <v>22.466626999999999</v>
      </c>
      <c r="BO175" s="260">
        <v>22.499523999999997</v>
      </c>
      <c r="BP175" s="260">
        <v>22.532264999999999</v>
      </c>
      <c r="BQ175" s="260">
        <v>22.564848999999999</v>
      </c>
      <c r="BR175" s="260">
        <v>22.597277999999999</v>
      </c>
      <c r="BS175" s="260">
        <v>22.629550999999999</v>
      </c>
      <c r="BT175" s="260">
        <v>22.661667999999999</v>
      </c>
      <c r="BU175" s="260">
        <v>22.693629999999999</v>
      </c>
      <c r="BV175" s="260">
        <v>22.725435999999998</v>
      </c>
      <c r="BW175" s="260">
        <v>22.757086999999999</v>
      </c>
      <c r="BX175" s="260">
        <v>22.788582999999999</v>
      </c>
      <c r="BY175" s="260">
        <v>22.819924</v>
      </c>
      <c r="BZ175" s="260">
        <v>22.851111</v>
      </c>
      <c r="CA175" s="260">
        <v>22.882142999999999</v>
      </c>
      <c r="CB175" s="260">
        <v>22.913021000000001</v>
      </c>
      <c r="CC175" s="260">
        <v>22.943743999999999</v>
      </c>
      <c r="CD175" s="260">
        <v>22.974314</v>
      </c>
      <c r="CE175" s="260">
        <v>23.004731</v>
      </c>
      <c r="CF175" s="260">
        <v>23.034993</v>
      </c>
      <c r="CG175" s="260">
        <v>23.065103000000001</v>
      </c>
      <c r="CH175" s="260">
        <v>23.09506</v>
      </c>
    </row>
    <row r="176" spans="1:86" x14ac:dyDescent="0.25">
      <c r="A176" s="170">
        <v>2</v>
      </c>
      <c r="B176" s="170">
        <v>65</v>
      </c>
      <c r="C176" s="259">
        <v>19.538883209228516</v>
      </c>
      <c r="D176" s="259">
        <v>19.606945037841797</v>
      </c>
      <c r="E176" s="259">
        <v>19.674327850341797</v>
      </c>
      <c r="F176" s="259">
        <v>19.741035461425781</v>
      </c>
      <c r="G176" s="259">
        <v>19.807073593139648</v>
      </c>
      <c r="H176" s="259">
        <v>19.872444152832031</v>
      </c>
      <c r="I176" s="260">
        <v>19.747230999999999</v>
      </c>
      <c r="J176" s="260">
        <v>19.792683</v>
      </c>
      <c r="K176" s="260">
        <v>19.837236999999998</v>
      </c>
      <c r="L176" s="260">
        <v>19.881005999999999</v>
      </c>
      <c r="M176" s="260">
        <v>19.924094999999998</v>
      </c>
      <c r="N176" s="260">
        <v>19.966602999999999</v>
      </c>
      <c r="O176" s="260">
        <v>20.008618999999999</v>
      </c>
      <c r="P176" s="260">
        <v>20.050224999999998</v>
      </c>
      <c r="Q176" s="260">
        <v>20.09149</v>
      </c>
      <c r="R176" s="260">
        <v>20.132473999999998</v>
      </c>
      <c r="S176" s="260">
        <v>20.173226</v>
      </c>
      <c r="T176" s="260">
        <v>20.213784999999998</v>
      </c>
      <c r="U176" s="260">
        <v>20.254175999999998</v>
      </c>
      <c r="V176" s="260">
        <v>20.294416999999999</v>
      </c>
      <c r="W176" s="260">
        <v>20.334512999999998</v>
      </c>
      <c r="X176" s="260">
        <v>20.374462999999999</v>
      </c>
      <c r="Y176" s="260">
        <v>20.414265999999998</v>
      </c>
      <c r="Z176" s="260">
        <v>20.453921999999999</v>
      </c>
      <c r="AA176" s="260">
        <v>20.493430999999998</v>
      </c>
      <c r="AB176" s="260">
        <v>20.532791</v>
      </c>
      <c r="AC176" s="260">
        <v>20.572001999999998</v>
      </c>
      <c r="AD176" s="260">
        <v>20.611065</v>
      </c>
      <c r="AE176" s="260">
        <v>20.649978000000001</v>
      </c>
      <c r="AF176" s="260">
        <v>20.688741</v>
      </c>
      <c r="AG176" s="260">
        <v>20.727353000000001</v>
      </c>
      <c r="AH176" s="260">
        <v>20.765813999999999</v>
      </c>
      <c r="AI176" s="260">
        <v>20.804123999999998</v>
      </c>
      <c r="AJ176" s="260">
        <v>20.842281999999997</v>
      </c>
      <c r="AK176" s="260">
        <v>20.880288</v>
      </c>
      <c r="AL176" s="260">
        <v>20.918142</v>
      </c>
      <c r="AM176" s="260">
        <v>20.955842999999998</v>
      </c>
      <c r="AN176" s="260">
        <v>20.993389999999998</v>
      </c>
      <c r="AO176" s="260">
        <v>21.030784000000001</v>
      </c>
      <c r="AP176" s="260">
        <v>21.068023999999998</v>
      </c>
      <c r="AQ176" s="260">
        <v>21.105110999999997</v>
      </c>
      <c r="AR176" s="260">
        <v>21.142042999999997</v>
      </c>
      <c r="AS176" s="260">
        <v>21.178819999999998</v>
      </c>
      <c r="AT176" s="260">
        <v>21.215441999999999</v>
      </c>
      <c r="AU176" s="260">
        <v>21.251909999999999</v>
      </c>
      <c r="AV176" s="260">
        <v>21.288221999999998</v>
      </c>
      <c r="AW176" s="260">
        <v>21.324379</v>
      </c>
      <c r="AX176" s="260">
        <v>21.360379999999999</v>
      </c>
      <c r="AY176" s="260">
        <v>21.396224999999998</v>
      </c>
      <c r="AZ176" s="260">
        <v>21.431913999999999</v>
      </c>
      <c r="BA176" s="260">
        <v>21.467447999999997</v>
      </c>
      <c r="BB176" s="260">
        <v>21.502824999999998</v>
      </c>
      <c r="BC176" s="260">
        <v>21.538045999999998</v>
      </c>
      <c r="BD176" s="260">
        <v>21.57311</v>
      </c>
      <c r="BE176" s="260">
        <v>21.608017999999998</v>
      </c>
      <c r="BF176" s="260">
        <v>21.642768999999998</v>
      </c>
      <c r="BG176" s="260">
        <v>21.677364000000001</v>
      </c>
      <c r="BH176" s="260">
        <v>21.711801999999999</v>
      </c>
      <c r="BI176" s="260">
        <v>21.746082999999999</v>
      </c>
      <c r="BJ176" s="260">
        <v>21.780207999999998</v>
      </c>
      <c r="BK176" s="260">
        <v>21.814174999999999</v>
      </c>
      <c r="BL176" s="260">
        <v>21.847987</v>
      </c>
      <c r="BM176" s="260">
        <v>21.881640999999998</v>
      </c>
      <c r="BN176" s="260">
        <v>21.915139</v>
      </c>
      <c r="BO176" s="260">
        <v>21.94848</v>
      </c>
      <c r="BP176" s="260">
        <v>21.981665</v>
      </c>
      <c r="BQ176" s="260">
        <v>22.014692999999998</v>
      </c>
      <c r="BR176" s="260">
        <v>22.047564999999999</v>
      </c>
      <c r="BS176" s="260">
        <v>22.080280999999999</v>
      </c>
      <c r="BT176" s="260">
        <v>22.112839999999998</v>
      </c>
      <c r="BU176" s="260">
        <v>22.145243000000001</v>
      </c>
      <c r="BV176" s="260">
        <v>22.177491</v>
      </c>
      <c r="BW176" s="260">
        <v>22.209581999999997</v>
      </c>
      <c r="BX176" s="260">
        <v>22.241517999999999</v>
      </c>
      <c r="BY176" s="260">
        <v>22.273298</v>
      </c>
      <c r="BZ176" s="260">
        <v>22.304922999999999</v>
      </c>
      <c r="CA176" s="260">
        <v>22.336392999999997</v>
      </c>
      <c r="CB176" s="260">
        <v>22.367708</v>
      </c>
      <c r="CC176" s="260">
        <v>22.398868</v>
      </c>
      <c r="CD176" s="260">
        <v>22.429873999999998</v>
      </c>
      <c r="CE176" s="260">
        <v>22.460725</v>
      </c>
      <c r="CF176" s="260">
        <v>22.491422</v>
      </c>
      <c r="CG176" s="260">
        <v>22.521964999999998</v>
      </c>
      <c r="CH176" s="260">
        <v>22.552354999999999</v>
      </c>
    </row>
    <row r="177" spans="1:86" x14ac:dyDescent="0.25">
      <c r="A177" s="170">
        <v>2</v>
      </c>
      <c r="B177" s="170">
        <v>66</v>
      </c>
      <c r="C177" s="259">
        <v>18.949317932128906</v>
      </c>
      <c r="D177" s="259">
        <v>19.017679214477539</v>
      </c>
      <c r="E177" s="259">
        <v>19.085371017456055</v>
      </c>
      <c r="F177" s="259">
        <v>19.152397155761719</v>
      </c>
      <c r="G177" s="259">
        <v>19.218761444091797</v>
      </c>
      <c r="H177" s="259">
        <v>19.284467697143555</v>
      </c>
      <c r="I177" s="260">
        <v>19.164914</v>
      </c>
      <c r="J177" s="260">
        <v>19.211029999999997</v>
      </c>
      <c r="K177" s="260">
        <v>19.256190999999998</v>
      </c>
      <c r="L177" s="260">
        <v>19.300515000000001</v>
      </c>
      <c r="M177" s="260">
        <v>19.344117000000001</v>
      </c>
      <c r="N177" s="260">
        <v>19.387100999999998</v>
      </c>
      <c r="O177" s="260">
        <v>19.429565</v>
      </c>
      <c r="P177" s="260">
        <v>19.471595999999998</v>
      </c>
      <c r="Q177" s="260">
        <v>19.513268999999998</v>
      </c>
      <c r="R177" s="260">
        <v>19.554652000000001</v>
      </c>
      <c r="S177" s="260">
        <v>19.595796</v>
      </c>
      <c r="T177" s="260">
        <v>19.636744</v>
      </c>
      <c r="U177" s="260">
        <v>19.677523999999998</v>
      </c>
      <c r="V177" s="260">
        <v>19.718154999999999</v>
      </c>
      <c r="W177" s="260">
        <v>19.758641999999998</v>
      </c>
      <c r="X177" s="260">
        <v>19.798984999999998</v>
      </c>
      <c r="Y177" s="260">
        <v>19.839181999999997</v>
      </c>
      <c r="Z177" s="260">
        <v>19.879234</v>
      </c>
      <c r="AA177" s="260">
        <v>19.919138999999998</v>
      </c>
      <c r="AB177" s="260">
        <v>19.958897</v>
      </c>
      <c r="AC177" s="260">
        <v>19.998507999999998</v>
      </c>
      <c r="AD177" s="260">
        <v>20.037970999999999</v>
      </c>
      <c r="AE177" s="260">
        <v>20.077285</v>
      </c>
      <c r="AF177" s="260">
        <v>20.11645</v>
      </c>
      <c r="AG177" s="260">
        <v>20.155466000000001</v>
      </c>
      <c r="AH177" s="260">
        <v>20.194331999999999</v>
      </c>
      <c r="AI177" s="260">
        <v>20.233046999999999</v>
      </c>
      <c r="AJ177" s="260">
        <v>20.271611</v>
      </c>
      <c r="AK177" s="260">
        <v>20.310023999999999</v>
      </c>
      <c r="AL177" s="260">
        <v>20.348285999999998</v>
      </c>
      <c r="AM177" s="260">
        <v>20.386395</v>
      </c>
      <c r="AN177" s="260">
        <v>20.424351999999999</v>
      </c>
      <c r="AO177" s="260">
        <v>20.462156</v>
      </c>
      <c r="AP177" s="260">
        <v>20.499807999999998</v>
      </c>
      <c r="AQ177" s="260">
        <v>20.537305</v>
      </c>
      <c r="AR177" s="260">
        <v>20.574648999999997</v>
      </c>
      <c r="AS177" s="260">
        <v>20.611839</v>
      </c>
      <c r="AT177" s="260">
        <v>20.648873999999999</v>
      </c>
      <c r="AU177" s="260">
        <v>20.685755</v>
      </c>
      <c r="AV177" s="260">
        <v>20.722481999999999</v>
      </c>
      <c r="AW177" s="260">
        <v>20.759052999999998</v>
      </c>
      <c r="AX177" s="260">
        <v>20.795468</v>
      </c>
      <c r="AY177" s="260">
        <v>20.831728999999999</v>
      </c>
      <c r="AZ177" s="260">
        <v>20.867833999999998</v>
      </c>
      <c r="BA177" s="260">
        <v>20.903783000000001</v>
      </c>
      <c r="BB177" s="260">
        <v>20.939575999999999</v>
      </c>
      <c r="BC177" s="260">
        <v>20.975211999999999</v>
      </c>
      <c r="BD177" s="260">
        <v>21.010693</v>
      </c>
      <c r="BE177" s="260">
        <v>21.046016999999999</v>
      </c>
      <c r="BF177" s="260">
        <v>21.081184999999998</v>
      </c>
      <c r="BG177" s="260">
        <v>21.116197</v>
      </c>
      <c r="BH177" s="260">
        <v>21.151050999999999</v>
      </c>
      <c r="BI177" s="260">
        <v>21.185748999999998</v>
      </c>
      <c r="BJ177" s="260">
        <v>21.220291</v>
      </c>
      <c r="BK177" s="260">
        <v>21.254674999999999</v>
      </c>
      <c r="BL177" s="260">
        <v>21.288902999999998</v>
      </c>
      <c r="BM177" s="260">
        <v>21.322973999999999</v>
      </c>
      <c r="BN177" s="260">
        <v>21.356887999999998</v>
      </c>
      <c r="BO177" s="260">
        <v>21.390646</v>
      </c>
      <c r="BP177" s="260">
        <v>21.424246999999998</v>
      </c>
      <c r="BQ177" s="260">
        <v>21.457691000000001</v>
      </c>
      <c r="BR177" s="260">
        <v>21.490978999999999</v>
      </c>
      <c r="BS177" s="260">
        <v>21.52411</v>
      </c>
      <c r="BT177" s="260">
        <v>21.557084</v>
      </c>
      <c r="BU177" s="260">
        <v>21.589901999999999</v>
      </c>
      <c r="BV177" s="260">
        <v>21.622564000000001</v>
      </c>
      <c r="BW177" s="260">
        <v>21.655069999999998</v>
      </c>
      <c r="BX177" s="260">
        <v>21.687419999999999</v>
      </c>
      <c r="BY177" s="260">
        <v>21.719612999999999</v>
      </c>
      <c r="BZ177" s="260">
        <v>21.751652</v>
      </c>
      <c r="CA177" s="260">
        <v>21.783534</v>
      </c>
      <c r="CB177" s="260">
        <v>21.815261</v>
      </c>
      <c r="CC177" s="260">
        <v>21.846833</v>
      </c>
      <c r="CD177" s="260">
        <v>21.878249</v>
      </c>
      <c r="CE177" s="260">
        <v>21.909510999999998</v>
      </c>
      <c r="CF177" s="260">
        <v>21.940618000000001</v>
      </c>
      <c r="CG177" s="260">
        <v>21.971570999999997</v>
      </c>
      <c r="CH177" s="260">
        <v>22.002369999999999</v>
      </c>
    </row>
    <row r="178" spans="1:86" x14ac:dyDescent="0.25">
      <c r="A178" s="170">
        <v>2</v>
      </c>
      <c r="B178" s="170">
        <v>67</v>
      </c>
      <c r="C178" s="259">
        <v>18.356325149536133</v>
      </c>
      <c r="D178" s="259">
        <v>18.424846649169922</v>
      </c>
      <c r="E178" s="259">
        <v>18.492710113525391</v>
      </c>
      <c r="F178" s="259">
        <v>18.559917449951172</v>
      </c>
      <c r="G178" s="259">
        <v>18.626472473144531</v>
      </c>
      <c r="H178" s="259">
        <v>18.692380905151367</v>
      </c>
      <c r="I178" s="260">
        <v>18.577750999999999</v>
      </c>
      <c r="J178" s="260">
        <v>18.624510000000001</v>
      </c>
      <c r="K178" s="260">
        <v>18.670251999999998</v>
      </c>
      <c r="L178" s="260">
        <v>18.715104999999998</v>
      </c>
      <c r="M178" s="260">
        <v>18.759187999999998</v>
      </c>
      <c r="N178" s="260">
        <v>18.802616999999998</v>
      </c>
      <c r="O178" s="260">
        <v>18.845492999999998</v>
      </c>
      <c r="P178" s="260">
        <v>18.887912</v>
      </c>
      <c r="Q178" s="260">
        <v>18.929956000000001</v>
      </c>
      <c r="R178" s="260">
        <v>18.971696999999999</v>
      </c>
      <c r="S178" s="260">
        <v>19.013192</v>
      </c>
      <c r="T178" s="260">
        <v>19.054487999999999</v>
      </c>
      <c r="U178" s="260">
        <v>19.095616</v>
      </c>
      <c r="V178" s="260">
        <v>19.136596000000001</v>
      </c>
      <c r="W178" s="260">
        <v>19.177433000000001</v>
      </c>
      <c r="X178" s="260">
        <v>19.218128</v>
      </c>
      <c r="Y178" s="260">
        <v>19.258679000000001</v>
      </c>
      <c r="Z178" s="260">
        <v>19.299085999999999</v>
      </c>
      <c r="AA178" s="260">
        <v>19.339348999999999</v>
      </c>
      <c r="AB178" s="260">
        <v>19.379465</v>
      </c>
      <c r="AC178" s="260">
        <v>19.419435999999997</v>
      </c>
      <c r="AD178" s="260">
        <v>19.459260999999998</v>
      </c>
      <c r="AE178" s="260">
        <v>19.498937999999999</v>
      </c>
      <c r="AF178" s="260">
        <v>19.538467000000001</v>
      </c>
      <c r="AG178" s="260">
        <v>19.577847999999999</v>
      </c>
      <c r="AH178" s="260">
        <v>19.617080999999999</v>
      </c>
      <c r="AI178" s="260">
        <v>19.656164</v>
      </c>
      <c r="AJ178" s="260">
        <v>19.695097999999998</v>
      </c>
      <c r="AK178" s="260">
        <v>19.733881</v>
      </c>
      <c r="AL178" s="260">
        <v>19.772513999999997</v>
      </c>
      <c r="AM178" s="260">
        <v>19.810995999999999</v>
      </c>
      <c r="AN178" s="260">
        <v>19.849325999999998</v>
      </c>
      <c r="AO178" s="260">
        <v>19.887504999999997</v>
      </c>
      <c r="AP178" s="260">
        <v>19.925530999999999</v>
      </c>
      <c r="AQ178" s="260">
        <v>19.963404999999998</v>
      </c>
      <c r="AR178" s="260">
        <v>20.001125999999999</v>
      </c>
      <c r="AS178" s="260">
        <v>20.038694</v>
      </c>
      <c r="AT178" s="260">
        <v>20.076108999999999</v>
      </c>
      <c r="AU178" s="260">
        <v>20.113368999999999</v>
      </c>
      <c r="AV178" s="260">
        <v>20.150475</v>
      </c>
      <c r="AW178" s="260">
        <v>20.187428000000001</v>
      </c>
      <c r="AX178" s="260">
        <v>20.224225000000001</v>
      </c>
      <c r="AY178" s="260">
        <v>20.260867999999999</v>
      </c>
      <c r="AZ178" s="260">
        <v>20.297355</v>
      </c>
      <c r="BA178" s="260">
        <v>20.333686999999998</v>
      </c>
      <c r="BB178" s="260">
        <v>20.369864</v>
      </c>
      <c r="BC178" s="260">
        <v>20.405884999999998</v>
      </c>
      <c r="BD178" s="260">
        <v>20.441751</v>
      </c>
      <c r="BE178" s="260">
        <v>20.477460000000001</v>
      </c>
      <c r="BF178" s="260">
        <v>20.513013999999998</v>
      </c>
      <c r="BG178" s="260">
        <v>20.548410999999998</v>
      </c>
      <c r="BH178" s="260">
        <v>20.583652000000001</v>
      </c>
      <c r="BI178" s="260">
        <v>20.618735999999998</v>
      </c>
      <c r="BJ178" s="260">
        <v>20.653663999999999</v>
      </c>
      <c r="BK178" s="260">
        <v>20.688435999999999</v>
      </c>
      <c r="BL178" s="260">
        <v>20.723050999999998</v>
      </c>
      <c r="BM178" s="260">
        <v>20.757508999999999</v>
      </c>
      <c r="BN178" s="260">
        <v>20.791810999999999</v>
      </c>
      <c r="BO178" s="260">
        <v>20.825955999999998</v>
      </c>
      <c r="BP178" s="260">
        <v>20.859945</v>
      </c>
      <c r="BQ178" s="260">
        <v>20.893777</v>
      </c>
      <c r="BR178" s="260">
        <v>20.927451999999999</v>
      </c>
      <c r="BS178" s="260">
        <v>20.960971000000001</v>
      </c>
      <c r="BT178" s="260">
        <v>20.994332999999997</v>
      </c>
      <c r="BU178" s="260">
        <v>21.027538999999997</v>
      </c>
      <c r="BV178" s="260">
        <v>21.060587999999999</v>
      </c>
      <c r="BW178" s="260">
        <v>21.093481000000001</v>
      </c>
      <c r="BX178" s="260">
        <v>21.126217999999998</v>
      </c>
      <c r="BY178" s="260">
        <v>21.158798999999998</v>
      </c>
      <c r="BZ178" s="260">
        <v>21.191223999999998</v>
      </c>
      <c r="CA178" s="260">
        <v>21.223492999999998</v>
      </c>
      <c r="CB178" s="260">
        <v>21.255606999999998</v>
      </c>
      <c r="CC178" s="260">
        <v>21.287565000000001</v>
      </c>
      <c r="CD178" s="260">
        <v>21.319368000000001</v>
      </c>
      <c r="CE178" s="260">
        <v>21.351015</v>
      </c>
      <c r="CF178" s="260">
        <v>21.382507999999998</v>
      </c>
      <c r="CG178" s="260">
        <v>21.413844999999998</v>
      </c>
      <c r="CH178" s="260">
        <v>21.445028999999998</v>
      </c>
    </row>
    <row r="179" spans="1:86" x14ac:dyDescent="0.25">
      <c r="A179" s="170">
        <v>2</v>
      </c>
      <c r="B179" s="170">
        <v>68</v>
      </c>
      <c r="C179" s="259">
        <v>17.759574890136719</v>
      </c>
      <c r="D179" s="259">
        <v>17.828119277954102</v>
      </c>
      <c r="E179" s="259">
        <v>17.896017074584961</v>
      </c>
      <c r="F179" s="259">
        <v>17.963272094726563</v>
      </c>
      <c r="G179" s="259">
        <v>18.029888153076172</v>
      </c>
      <c r="H179" s="259">
        <v>18.095867156982422</v>
      </c>
      <c r="I179" s="260">
        <v>17.986460999999998</v>
      </c>
      <c r="J179" s="260">
        <v>18.033832</v>
      </c>
      <c r="K179" s="260">
        <v>18.080123</v>
      </c>
      <c r="L179" s="260">
        <v>18.125467999999998</v>
      </c>
      <c r="M179" s="260">
        <v>18.169996999999999</v>
      </c>
      <c r="N179" s="260">
        <v>18.213829999999998</v>
      </c>
      <c r="O179" s="260">
        <v>18.257079000000001</v>
      </c>
      <c r="P179" s="260">
        <v>18.299842999999999</v>
      </c>
      <c r="Q179" s="260">
        <v>18.342213999999998</v>
      </c>
      <c r="R179" s="260">
        <v>18.384266999999998</v>
      </c>
      <c r="S179" s="260">
        <v>18.426067</v>
      </c>
      <c r="T179" s="260">
        <v>18.467663999999999</v>
      </c>
      <c r="U179" s="260">
        <v>18.509093</v>
      </c>
      <c r="V179" s="260">
        <v>18.550374999999999</v>
      </c>
      <c r="W179" s="260">
        <v>18.591517</v>
      </c>
      <c r="X179" s="260">
        <v>18.632517999999997</v>
      </c>
      <c r="Y179" s="260">
        <v>18.673378</v>
      </c>
      <c r="Z179" s="260">
        <v>18.714095</v>
      </c>
      <c r="AA179" s="260">
        <v>18.754669</v>
      </c>
      <c r="AB179" s="260">
        <v>18.795099999999998</v>
      </c>
      <c r="AC179" s="260">
        <v>18.835386</v>
      </c>
      <c r="AD179" s="260">
        <v>18.875527999999999</v>
      </c>
      <c r="AE179" s="260">
        <v>18.915523999999998</v>
      </c>
      <c r="AF179" s="260">
        <v>18.955373999999999</v>
      </c>
      <c r="AG179" s="260">
        <v>18.995077999999999</v>
      </c>
      <c r="AH179" s="260">
        <v>19.034634</v>
      </c>
      <c r="AI179" s="260">
        <v>19.074043</v>
      </c>
      <c r="AJ179" s="260">
        <v>19.113303999999999</v>
      </c>
      <c r="AK179" s="260">
        <v>19.152415999999999</v>
      </c>
      <c r="AL179" s="260">
        <v>19.191378</v>
      </c>
      <c r="AM179" s="260">
        <v>19.230190999999998</v>
      </c>
      <c r="AN179" s="260">
        <v>19.268853999999997</v>
      </c>
      <c r="AO179" s="260">
        <v>19.307366999999999</v>
      </c>
      <c r="AP179" s="260">
        <v>19.345727999999998</v>
      </c>
      <c r="AQ179" s="260">
        <v>19.383938000000001</v>
      </c>
      <c r="AR179" s="260">
        <v>19.421996999999998</v>
      </c>
      <c r="AS179" s="260">
        <v>19.459903000000001</v>
      </c>
      <c r="AT179" s="260">
        <v>19.497657</v>
      </c>
      <c r="AU179" s="260">
        <v>19.535257999999999</v>
      </c>
      <c r="AV179" s="260">
        <v>19.572706</v>
      </c>
      <c r="AW179" s="260">
        <v>19.610001</v>
      </c>
      <c r="AX179" s="260">
        <v>19.647141999999999</v>
      </c>
      <c r="AY179" s="260">
        <v>19.684128999999999</v>
      </c>
      <c r="AZ179" s="260">
        <v>19.720962</v>
      </c>
      <c r="BA179" s="260">
        <v>19.757639999999999</v>
      </c>
      <c r="BB179" s="260">
        <v>19.794163999999999</v>
      </c>
      <c r="BC179" s="260">
        <v>19.830532999999999</v>
      </c>
      <c r="BD179" s="260">
        <v>19.866747</v>
      </c>
      <c r="BE179" s="260">
        <v>19.902805000000001</v>
      </c>
      <c r="BF179" s="260">
        <v>19.938708999999999</v>
      </c>
      <c r="BG179" s="260">
        <v>19.974456</v>
      </c>
      <c r="BH179" s="260">
        <v>20.010047999999998</v>
      </c>
      <c r="BI179" s="260">
        <v>20.045483999999998</v>
      </c>
      <c r="BJ179" s="260">
        <v>20.080763999999999</v>
      </c>
      <c r="BK179" s="260">
        <v>20.115888999999999</v>
      </c>
      <c r="BL179" s="260">
        <v>20.150856999999998</v>
      </c>
      <c r="BM179" s="260">
        <v>20.185669000000001</v>
      </c>
      <c r="BN179" s="260">
        <v>20.220323999999998</v>
      </c>
      <c r="BO179" s="260">
        <v>20.254823999999999</v>
      </c>
      <c r="BP179" s="260">
        <v>20.289166999999999</v>
      </c>
      <c r="BQ179" s="260">
        <v>20.323353999999998</v>
      </c>
      <c r="BR179" s="260">
        <v>20.357384</v>
      </c>
      <c r="BS179" s="260">
        <v>20.391258999999998</v>
      </c>
      <c r="BT179" s="260">
        <v>20.424976999999998</v>
      </c>
      <c r="BU179" s="260">
        <v>20.458538000000001</v>
      </c>
      <c r="BV179" s="260">
        <v>20.491944</v>
      </c>
      <c r="BW179" s="260">
        <v>20.525192999999998</v>
      </c>
      <c r="BX179" s="260">
        <v>20.558287</v>
      </c>
      <c r="BY179" s="260">
        <v>20.591224</v>
      </c>
      <c r="BZ179" s="260">
        <v>20.624005999999998</v>
      </c>
      <c r="CA179" s="260">
        <v>20.656631999999998</v>
      </c>
      <c r="CB179" s="260">
        <v>20.689101999999998</v>
      </c>
      <c r="CC179" s="260">
        <v>20.721416999999999</v>
      </c>
      <c r="CD179" s="260">
        <v>20.753575999999999</v>
      </c>
      <c r="CE179" s="260">
        <v>20.78558</v>
      </c>
      <c r="CF179" s="260">
        <v>20.817429000000001</v>
      </c>
      <c r="CG179" s="260">
        <v>20.849122999999999</v>
      </c>
      <c r="CH179" s="260">
        <v>20.880662999999998</v>
      </c>
    </row>
    <row r="180" spans="1:86" x14ac:dyDescent="0.25">
      <c r="A180" s="170">
        <v>2</v>
      </c>
      <c r="B180" s="170">
        <v>69</v>
      </c>
      <c r="C180" s="259">
        <v>17.158180236816406</v>
      </c>
      <c r="D180" s="259">
        <v>17.22662353515625</v>
      </c>
      <c r="E180" s="259">
        <v>17.294435501098633</v>
      </c>
      <c r="F180" s="259">
        <v>17.36161994934082</v>
      </c>
      <c r="G180" s="259">
        <v>17.428176879882813</v>
      </c>
      <c r="H180" s="259">
        <v>17.494108200073242</v>
      </c>
      <c r="I180" s="260">
        <v>17.392164999999999</v>
      </c>
      <c r="J180" s="260">
        <v>17.440100999999999</v>
      </c>
      <c r="K180" s="260">
        <v>17.486892999999998</v>
      </c>
      <c r="L180" s="260">
        <v>17.532681999999998</v>
      </c>
      <c r="M180" s="260">
        <v>17.577605999999999</v>
      </c>
      <c r="N180" s="260">
        <v>17.621793</v>
      </c>
      <c r="O180" s="260">
        <v>17.665361000000001</v>
      </c>
      <c r="P180" s="260">
        <v>17.708418999999999</v>
      </c>
      <c r="Q180" s="260">
        <v>17.751062999999998</v>
      </c>
      <c r="R180" s="260">
        <v>17.793374999999997</v>
      </c>
      <c r="S180" s="260">
        <v>17.835425999999998</v>
      </c>
      <c r="T180" s="260">
        <v>17.877268999999998</v>
      </c>
      <c r="U180" s="260">
        <v>17.918944</v>
      </c>
      <c r="V180" s="260">
        <v>17.960473999999998</v>
      </c>
      <c r="W180" s="260">
        <v>18.001866</v>
      </c>
      <c r="X180" s="260">
        <v>18.043119999999998</v>
      </c>
      <c r="Y180" s="260">
        <v>18.084233999999999</v>
      </c>
      <c r="Z180" s="260">
        <v>18.125208999999998</v>
      </c>
      <c r="AA180" s="260">
        <v>18.166042000000001</v>
      </c>
      <c r="AB180" s="260">
        <v>18.206734999999998</v>
      </c>
      <c r="AC180" s="260">
        <v>18.247284999999998</v>
      </c>
      <c r="AD180" s="260">
        <v>18.287692</v>
      </c>
      <c r="AE180" s="260">
        <v>18.327956</v>
      </c>
      <c r="AF180" s="260">
        <v>18.368075999999999</v>
      </c>
      <c r="AG180" s="260">
        <v>18.408051</v>
      </c>
      <c r="AH180" s="260">
        <v>18.447880999999999</v>
      </c>
      <c r="AI180" s="260">
        <v>18.487565999999998</v>
      </c>
      <c r="AJ180" s="260">
        <v>18.527103</v>
      </c>
      <c r="AK180" s="260">
        <v>18.566493999999999</v>
      </c>
      <c r="AL180" s="260">
        <v>18.605737999999999</v>
      </c>
      <c r="AM180" s="260">
        <v>18.644832999999998</v>
      </c>
      <c r="AN180" s="260">
        <v>18.683779999999999</v>
      </c>
      <c r="AO180" s="260">
        <v>18.722579</v>
      </c>
      <c r="AP180" s="260">
        <v>18.761226999999998</v>
      </c>
      <c r="AQ180" s="260">
        <v>18.799726</v>
      </c>
      <c r="AR180" s="260">
        <v>18.838075</v>
      </c>
      <c r="AS180" s="260">
        <v>18.876272999999998</v>
      </c>
      <c r="AT180" s="260">
        <v>18.91432</v>
      </c>
      <c r="AU180" s="260">
        <v>18.952216</v>
      </c>
      <c r="AV180" s="260">
        <v>18.98996</v>
      </c>
      <c r="AW180" s="260">
        <v>19.027552</v>
      </c>
      <c r="AX180" s="260">
        <v>19.064992</v>
      </c>
      <c r="AY180" s="260">
        <v>19.102277999999998</v>
      </c>
      <c r="AZ180" s="260">
        <v>19.139412</v>
      </c>
      <c r="BA180" s="260">
        <v>19.176392999999997</v>
      </c>
      <c r="BB180" s="260">
        <v>19.21322</v>
      </c>
      <c r="BC180" s="260">
        <v>19.249893</v>
      </c>
      <c r="BD180" s="260">
        <v>19.286411999999999</v>
      </c>
      <c r="BE180" s="260">
        <v>19.322776999999999</v>
      </c>
      <c r="BF180" s="260">
        <v>19.358986999999999</v>
      </c>
      <c r="BG180" s="260">
        <v>19.395042999999998</v>
      </c>
      <c r="BH180" s="260">
        <v>19.430944</v>
      </c>
      <c r="BI180" s="260">
        <v>19.46669</v>
      </c>
      <c r="BJ180" s="260">
        <v>19.502281999999997</v>
      </c>
      <c r="BK180" s="260">
        <v>19.537717000000001</v>
      </c>
      <c r="BL180" s="260">
        <v>19.572997999999998</v>
      </c>
      <c r="BM180" s="260">
        <v>19.608122999999999</v>
      </c>
      <c r="BN180" s="260">
        <v>19.643093</v>
      </c>
      <c r="BO180" s="260">
        <v>19.677906999999998</v>
      </c>
      <c r="BP180" s="260">
        <v>19.712564999999998</v>
      </c>
      <c r="BQ180" s="260">
        <v>19.747067999999999</v>
      </c>
      <c r="BR180" s="260">
        <v>19.781414999999999</v>
      </c>
      <c r="BS180" s="260">
        <v>19.815605999999999</v>
      </c>
      <c r="BT180" s="260">
        <v>19.849641999999999</v>
      </c>
      <c r="BU180" s="260">
        <v>19.883521999999999</v>
      </c>
      <c r="BV180" s="260">
        <v>19.917245999999999</v>
      </c>
      <c r="BW180" s="260">
        <v>19.950813999999998</v>
      </c>
      <c r="BX180" s="260">
        <v>19.984227000000001</v>
      </c>
      <c r="BY180" s="260">
        <v>20.017484</v>
      </c>
      <c r="BZ180" s="260">
        <v>20.050585999999999</v>
      </c>
      <c r="CA180" s="260">
        <v>20.083531999999998</v>
      </c>
      <c r="CB180" s="260">
        <v>20.116322999999998</v>
      </c>
      <c r="CC180" s="260">
        <v>20.148958999999998</v>
      </c>
      <c r="CD180" s="260">
        <v>20.181439999999998</v>
      </c>
      <c r="CE180" s="260">
        <v>20.213766</v>
      </c>
      <c r="CF180" s="260">
        <v>20.245936999999998</v>
      </c>
      <c r="CG180" s="260">
        <v>20.277953</v>
      </c>
      <c r="CH180" s="260">
        <v>20.309813999999999</v>
      </c>
    </row>
    <row r="181" spans="1:86" x14ac:dyDescent="0.25">
      <c r="A181" s="170">
        <v>2</v>
      </c>
      <c r="B181" s="170">
        <v>70</v>
      </c>
      <c r="C181" s="259">
        <v>16.55169677734375</v>
      </c>
      <c r="D181" s="259">
        <v>16.619922637939453</v>
      </c>
      <c r="E181" s="259">
        <v>16.687530517578125</v>
      </c>
      <c r="F181" s="259">
        <v>16.754526138305664</v>
      </c>
      <c r="G181" s="259">
        <v>16.820911407470703</v>
      </c>
      <c r="H181" s="259">
        <v>16.886690139770508</v>
      </c>
      <c r="I181" s="260">
        <v>16.796291</v>
      </c>
      <c r="J181" s="260">
        <v>16.844721</v>
      </c>
      <c r="K181" s="260">
        <v>16.891946000000001</v>
      </c>
      <c r="L181" s="260">
        <v>16.938112</v>
      </c>
      <c r="M181" s="260">
        <v>16.983363999999998</v>
      </c>
      <c r="N181" s="260">
        <v>17.027836999999998</v>
      </c>
      <c r="O181" s="260">
        <v>17.071659</v>
      </c>
      <c r="P181" s="260">
        <v>17.114944999999999</v>
      </c>
      <c r="Q181" s="260">
        <v>17.157795999999998</v>
      </c>
      <c r="R181" s="260">
        <v>17.200302999999998</v>
      </c>
      <c r="S181" s="260">
        <v>17.242539999999998</v>
      </c>
      <c r="T181" s="260">
        <v>17.284565000000001</v>
      </c>
      <c r="U181" s="260">
        <v>17.326422000000001</v>
      </c>
      <c r="V181" s="260">
        <v>17.368136</v>
      </c>
      <c r="W181" s="260">
        <v>17.409714999999998</v>
      </c>
      <c r="X181" s="260">
        <v>17.451158</v>
      </c>
      <c r="Y181" s="260">
        <v>17.492463999999998</v>
      </c>
      <c r="Z181" s="260">
        <v>17.533632999999998</v>
      </c>
      <c r="AA181" s="260">
        <v>17.574663999999999</v>
      </c>
      <c r="AB181" s="260">
        <v>17.615555999999998</v>
      </c>
      <c r="AC181" s="260">
        <v>17.656307999999999</v>
      </c>
      <c r="AD181" s="260">
        <v>17.696919999999999</v>
      </c>
      <c r="AE181" s="260">
        <v>17.737392</v>
      </c>
      <c r="AF181" s="260">
        <v>17.777721</v>
      </c>
      <c r="AG181" s="260">
        <v>17.817907999999999</v>
      </c>
      <c r="AH181" s="260">
        <v>17.857952000000001</v>
      </c>
      <c r="AI181" s="260">
        <v>17.897852999999998</v>
      </c>
      <c r="AJ181" s="260">
        <v>17.937608999999998</v>
      </c>
      <c r="AK181" s="260">
        <v>17.977221</v>
      </c>
      <c r="AL181" s="260">
        <v>18.016686999999997</v>
      </c>
      <c r="AM181" s="260">
        <v>18.056006999999997</v>
      </c>
      <c r="AN181" s="260">
        <v>18.095181</v>
      </c>
      <c r="AO181" s="260">
        <v>18.134207999999997</v>
      </c>
      <c r="AP181" s="260">
        <v>18.173088</v>
      </c>
      <c r="AQ181" s="260">
        <v>18.211819999999999</v>
      </c>
      <c r="AR181" s="260">
        <v>18.250402999999999</v>
      </c>
      <c r="AS181" s="260">
        <v>18.288837000000001</v>
      </c>
      <c r="AT181" s="260">
        <v>18.327123</v>
      </c>
      <c r="AU181" s="260">
        <v>18.365258000000001</v>
      </c>
      <c r="AV181" s="260">
        <v>18.403244000000001</v>
      </c>
      <c r="AW181" s="260">
        <v>18.441078999999998</v>
      </c>
      <c r="AX181" s="260">
        <v>18.478763000000001</v>
      </c>
      <c r="AY181" s="260">
        <v>18.516296999999998</v>
      </c>
      <c r="AZ181" s="260">
        <v>18.553678999999999</v>
      </c>
      <c r="BA181" s="260">
        <v>18.590909</v>
      </c>
      <c r="BB181" s="260">
        <v>18.627986999999997</v>
      </c>
      <c r="BC181" s="260">
        <v>18.664911999999998</v>
      </c>
      <c r="BD181" s="260">
        <v>18.701684999999998</v>
      </c>
      <c r="BE181" s="260">
        <v>18.738305</v>
      </c>
      <c r="BF181" s="260">
        <v>18.774771999999999</v>
      </c>
      <c r="BG181" s="260">
        <v>18.811086</v>
      </c>
      <c r="BH181" s="260">
        <v>18.847245999999998</v>
      </c>
      <c r="BI181" s="260">
        <v>18.883253</v>
      </c>
      <c r="BJ181" s="260">
        <v>18.919104999999998</v>
      </c>
      <c r="BK181" s="260">
        <v>18.954803999999999</v>
      </c>
      <c r="BL181" s="260">
        <v>18.990348000000001</v>
      </c>
      <c r="BM181" s="260">
        <v>19.025738</v>
      </c>
      <c r="BN181" s="260">
        <v>19.060973999999998</v>
      </c>
      <c r="BO181" s="260">
        <v>19.096055</v>
      </c>
      <c r="BP181" s="260">
        <v>19.130980999999998</v>
      </c>
      <c r="BQ181" s="260">
        <v>19.165752999999999</v>
      </c>
      <c r="BR181" s="260">
        <v>19.200369999999999</v>
      </c>
      <c r="BS181" s="260">
        <v>19.234832000000001</v>
      </c>
      <c r="BT181" s="260">
        <v>19.269138999999999</v>
      </c>
      <c r="BU181" s="260">
        <v>19.303291999999999</v>
      </c>
      <c r="BV181" s="260">
        <v>19.337288999999998</v>
      </c>
      <c r="BW181" s="260">
        <v>19.371131999999999</v>
      </c>
      <c r="BX181" s="260">
        <v>19.404820000000001</v>
      </c>
      <c r="BY181" s="260">
        <v>19.438351999999998</v>
      </c>
      <c r="BZ181" s="260">
        <v>19.471730999999998</v>
      </c>
      <c r="CA181" s="260">
        <v>19.504953999999998</v>
      </c>
      <c r="CB181" s="260">
        <v>19.538022999999999</v>
      </c>
      <c r="CC181" s="260">
        <v>19.570937000000001</v>
      </c>
      <c r="CD181" s="260">
        <v>19.603695999999999</v>
      </c>
      <c r="CE181" s="260">
        <v>19.636301</v>
      </c>
      <c r="CF181" s="260">
        <v>19.668751999999998</v>
      </c>
      <c r="CG181" s="260">
        <v>19.701048999999998</v>
      </c>
      <c r="CH181" s="260">
        <v>19.733190999999998</v>
      </c>
    </row>
    <row r="182" spans="1:86" x14ac:dyDescent="0.25">
      <c r="A182" s="170">
        <v>2</v>
      </c>
      <c r="B182" s="170">
        <v>71</v>
      </c>
      <c r="C182" s="259">
        <v>15.940096855163574</v>
      </c>
      <c r="D182" s="259">
        <v>16.007816314697266</v>
      </c>
      <c r="E182" s="259">
        <v>16.074943542480469</v>
      </c>
      <c r="F182" s="259">
        <v>16.141481399536133</v>
      </c>
      <c r="G182" s="259">
        <v>16.207429885864258</v>
      </c>
      <c r="H182" s="259">
        <v>16.272794723510742</v>
      </c>
      <c r="I182" s="260">
        <v>16.199804</v>
      </c>
      <c r="J182" s="260">
        <v>16.248642999999998</v>
      </c>
      <c r="K182" s="260">
        <v>16.296216999999999</v>
      </c>
      <c r="L182" s="260">
        <v>16.342680999999999</v>
      </c>
      <c r="M182" s="260">
        <v>16.388182999999998</v>
      </c>
      <c r="N182" s="260">
        <v>16.432866000000001</v>
      </c>
      <c r="O182" s="260">
        <v>16.476865</v>
      </c>
      <c r="P182" s="260">
        <v>16.520302999999998</v>
      </c>
      <c r="Q182" s="260">
        <v>16.563288</v>
      </c>
      <c r="R182" s="260">
        <v>16.605916000000001</v>
      </c>
      <c r="S182" s="260">
        <v>16.648267000000001</v>
      </c>
      <c r="T182" s="260">
        <v>16.690404000000001</v>
      </c>
      <c r="U182" s="260">
        <v>16.732371999999998</v>
      </c>
      <c r="V182" s="260">
        <v>16.774198999999999</v>
      </c>
      <c r="W182" s="260">
        <v>16.815894999999998</v>
      </c>
      <c r="X182" s="260">
        <v>16.857457999999998</v>
      </c>
      <c r="Y182" s="260">
        <v>16.898887999999999</v>
      </c>
      <c r="Z182" s="260">
        <v>16.940182999999998</v>
      </c>
      <c r="AA182" s="260">
        <v>16.981342999999999</v>
      </c>
      <c r="AB182" s="260">
        <v>17.022366999999999</v>
      </c>
      <c r="AC182" s="260">
        <v>17.063254000000001</v>
      </c>
      <c r="AD182" s="260">
        <v>17.104004</v>
      </c>
      <c r="AE182" s="260">
        <v>17.144615999999999</v>
      </c>
      <c r="AF182" s="260">
        <v>17.185088</v>
      </c>
      <c r="AG182" s="260">
        <v>17.225421000000001</v>
      </c>
      <c r="AH182" s="260">
        <v>17.265613999999999</v>
      </c>
      <c r="AI182" s="260">
        <v>17.305665999999999</v>
      </c>
      <c r="AJ182" s="260">
        <v>17.345575999999998</v>
      </c>
      <c r="AK182" s="260">
        <v>17.385344</v>
      </c>
      <c r="AL182" s="260">
        <v>17.424969000000001</v>
      </c>
      <c r="AM182" s="260">
        <v>17.464451</v>
      </c>
      <c r="AN182" s="260">
        <v>17.503788</v>
      </c>
      <c r="AO182" s="260">
        <v>17.542980999999997</v>
      </c>
      <c r="AP182" s="260">
        <v>17.582028999999999</v>
      </c>
      <c r="AQ182" s="260">
        <v>17.620932</v>
      </c>
      <c r="AR182" s="260">
        <v>17.659687999999999</v>
      </c>
      <c r="AS182" s="260">
        <v>17.698297999999998</v>
      </c>
      <c r="AT182" s="260">
        <v>17.73676</v>
      </c>
      <c r="AU182" s="260">
        <v>17.775074999999998</v>
      </c>
      <c r="AV182" s="260">
        <v>17.813241999999999</v>
      </c>
      <c r="AW182" s="260">
        <v>17.851261000000001</v>
      </c>
      <c r="AX182" s="260">
        <v>17.889130999999999</v>
      </c>
      <c r="AY182" s="260">
        <v>17.926852</v>
      </c>
      <c r="AZ182" s="260">
        <v>17.964423</v>
      </c>
      <c r="BA182" s="260">
        <v>18.001843999999998</v>
      </c>
      <c r="BB182" s="260">
        <v>18.039114999999999</v>
      </c>
      <c r="BC182" s="260">
        <v>18.076235999999998</v>
      </c>
      <c r="BD182" s="260">
        <v>18.113205999999998</v>
      </c>
      <c r="BE182" s="260">
        <v>18.150023999999998</v>
      </c>
      <c r="BF182" s="260">
        <v>18.186692000000001</v>
      </c>
      <c r="BG182" s="260">
        <v>18.223206999999999</v>
      </c>
      <c r="BH182" s="260">
        <v>18.259570999999998</v>
      </c>
      <c r="BI182" s="260">
        <v>18.295783</v>
      </c>
      <c r="BJ182" s="260">
        <v>18.331841999999998</v>
      </c>
      <c r="BK182" s="260">
        <v>18.367749</v>
      </c>
      <c r="BL182" s="260">
        <v>18.403503000000001</v>
      </c>
      <c r="BM182" s="260">
        <v>18.439104</v>
      </c>
      <c r="BN182" s="260">
        <v>18.474551999999999</v>
      </c>
      <c r="BO182" s="260">
        <v>18.509847000000001</v>
      </c>
      <c r="BP182" s="260">
        <v>18.544988999999998</v>
      </c>
      <c r="BQ182" s="260">
        <v>18.579977</v>
      </c>
      <c r="BR182" s="260">
        <v>18.614812000000001</v>
      </c>
      <c r="BS182" s="260">
        <v>18.649493</v>
      </c>
      <c r="BT182" s="260">
        <v>18.684020999999998</v>
      </c>
      <c r="BU182" s="260">
        <v>18.718394999999997</v>
      </c>
      <c r="BV182" s="260">
        <v>18.752616</v>
      </c>
      <c r="BW182" s="260">
        <v>18.786681999999999</v>
      </c>
      <c r="BX182" s="260">
        <v>18.820595000000001</v>
      </c>
      <c r="BY182" s="260">
        <v>18.854354000000001</v>
      </c>
      <c r="BZ182" s="260">
        <v>18.887958999999999</v>
      </c>
      <c r="CA182" s="260">
        <v>18.921410999999999</v>
      </c>
      <c r="CB182" s="260">
        <v>18.954708999999998</v>
      </c>
      <c r="CC182" s="260">
        <v>18.987852999999998</v>
      </c>
      <c r="CD182" s="260">
        <v>19.020844</v>
      </c>
      <c r="CE182" s="260">
        <v>19.053680999999997</v>
      </c>
      <c r="CF182" s="260">
        <v>19.086365000000001</v>
      </c>
      <c r="CG182" s="260">
        <v>19.118894999999998</v>
      </c>
      <c r="CH182" s="260">
        <v>19.151273</v>
      </c>
    </row>
    <row r="183" spans="1:86" x14ac:dyDescent="0.25">
      <c r="A183" s="170">
        <v>2</v>
      </c>
      <c r="B183" s="170">
        <v>72</v>
      </c>
      <c r="C183" s="259">
        <v>15.326116561889648</v>
      </c>
      <c r="D183" s="259">
        <v>15.393145561218262</v>
      </c>
      <c r="E183" s="259">
        <v>15.459609031677246</v>
      </c>
      <c r="F183" s="259">
        <v>15.525506973266602</v>
      </c>
      <c r="G183" s="259">
        <v>15.590843200683594</v>
      </c>
      <c r="H183" s="259">
        <v>15.655616760253906</v>
      </c>
      <c r="I183" s="260">
        <v>15.602304</v>
      </c>
      <c r="J183" s="260">
        <v>15.651467999999999</v>
      </c>
      <c r="K183" s="260">
        <v>15.699313999999999</v>
      </c>
      <c r="L183" s="260">
        <v>15.745998999999999</v>
      </c>
      <c r="M183" s="260">
        <v>15.791677</v>
      </c>
      <c r="N183" s="260">
        <v>15.836497</v>
      </c>
      <c r="O183" s="260">
        <v>15.880602</v>
      </c>
      <c r="P183" s="260">
        <v>15.924119999999998</v>
      </c>
      <c r="Q183" s="260">
        <v>15.967168999999998</v>
      </c>
      <c r="R183" s="260">
        <v>16.009848999999999</v>
      </c>
      <c r="S183" s="260">
        <v>16.052244999999999</v>
      </c>
      <c r="T183" s="260">
        <v>16.094424999999998</v>
      </c>
      <c r="U183" s="260">
        <v>16.136437000000001</v>
      </c>
      <c r="V183" s="260">
        <v>16.178311999999998</v>
      </c>
      <c r="W183" s="260">
        <v>16.220057999999998</v>
      </c>
      <c r="X183" s="260">
        <v>16.261675</v>
      </c>
      <c r="Y183" s="260">
        <v>16.303162</v>
      </c>
      <c r="Z183" s="260">
        <v>16.344518000000001</v>
      </c>
      <c r="AA183" s="260">
        <v>16.385742</v>
      </c>
      <c r="AB183" s="260">
        <v>16.426832999999998</v>
      </c>
      <c r="AC183" s="260">
        <v>16.467790999999998</v>
      </c>
      <c r="AD183" s="260">
        <v>16.508613999999998</v>
      </c>
      <c r="AE183" s="260">
        <v>16.549302999999998</v>
      </c>
      <c r="AF183" s="260">
        <v>16.589855</v>
      </c>
      <c r="AG183" s="260">
        <v>16.630271</v>
      </c>
      <c r="AH183" s="260">
        <v>16.670549999999999</v>
      </c>
      <c r="AI183" s="260">
        <v>16.71069</v>
      </c>
      <c r="AJ183" s="260">
        <v>16.750692000000001</v>
      </c>
      <c r="AK183" s="260">
        <v>16.790554999999998</v>
      </c>
      <c r="AL183" s="260">
        <v>16.830278</v>
      </c>
      <c r="AM183" s="260">
        <v>16.869858999999998</v>
      </c>
      <c r="AN183" s="260">
        <v>16.909299999999998</v>
      </c>
      <c r="AO183" s="260">
        <v>16.948598999999998</v>
      </c>
      <c r="AP183" s="260">
        <v>16.987755</v>
      </c>
      <c r="AQ183" s="260">
        <v>17.026768999999998</v>
      </c>
      <c r="AR183" s="260">
        <v>17.065639000000001</v>
      </c>
      <c r="AS183" s="260">
        <v>17.104364</v>
      </c>
      <c r="AT183" s="260">
        <v>17.142945000000001</v>
      </c>
      <c r="AU183" s="260">
        <v>17.181381999999999</v>
      </c>
      <c r="AV183" s="260">
        <v>17.219671999999999</v>
      </c>
      <c r="AW183" s="260">
        <v>17.257816999999999</v>
      </c>
      <c r="AX183" s="260">
        <v>17.295814999999997</v>
      </c>
      <c r="AY183" s="260">
        <v>17.333666000000001</v>
      </c>
      <c r="AZ183" s="260">
        <v>17.371369999999999</v>
      </c>
      <c r="BA183" s="260">
        <v>17.408926999999998</v>
      </c>
      <c r="BB183" s="260">
        <v>17.446334999999998</v>
      </c>
      <c r="BC183" s="260">
        <v>17.483594999999998</v>
      </c>
      <c r="BD183" s="260">
        <v>17.520706000000001</v>
      </c>
      <c r="BE183" s="260">
        <v>17.557669000000001</v>
      </c>
      <c r="BF183" s="260">
        <v>17.594480999999998</v>
      </c>
      <c r="BG183" s="260">
        <v>17.631145</v>
      </c>
      <c r="BH183" s="260">
        <v>17.667657999999999</v>
      </c>
      <c r="BI183" s="260">
        <v>17.704021000000001</v>
      </c>
      <c r="BJ183" s="260">
        <v>17.740234000000001</v>
      </c>
      <c r="BK183" s="260">
        <v>17.776295999999999</v>
      </c>
      <c r="BL183" s="260">
        <v>17.812207000000001</v>
      </c>
      <c r="BM183" s="260">
        <v>17.847967000000001</v>
      </c>
      <c r="BN183" s="260">
        <v>17.883575999999998</v>
      </c>
      <c r="BO183" s="260">
        <v>17.919034</v>
      </c>
      <c r="BP183" s="260">
        <v>17.954339999999998</v>
      </c>
      <c r="BQ183" s="260">
        <v>17.989494000000001</v>
      </c>
      <c r="BR183" s="260">
        <v>18.024495999999999</v>
      </c>
      <c r="BS183" s="260">
        <v>18.059346999999999</v>
      </c>
      <c r="BT183" s="260">
        <v>18.094044999999998</v>
      </c>
      <c r="BU183" s="260">
        <v>18.128591</v>
      </c>
      <c r="BV183" s="260">
        <v>18.162984999999999</v>
      </c>
      <c r="BW183" s="260">
        <v>18.197226999999998</v>
      </c>
      <c r="BX183" s="260">
        <v>18.231316</v>
      </c>
      <c r="BY183" s="260">
        <v>18.265253999999999</v>
      </c>
      <c r="BZ183" s="260">
        <v>18.299037999999999</v>
      </c>
      <c r="CA183" s="260">
        <v>18.332670999999998</v>
      </c>
      <c r="CB183" s="260">
        <v>18.366150999999999</v>
      </c>
      <c r="CC183" s="260">
        <v>18.399477999999998</v>
      </c>
      <c r="CD183" s="260">
        <v>18.432653999999999</v>
      </c>
      <c r="CE183" s="260">
        <v>18.465676999999999</v>
      </c>
      <c r="CF183" s="260">
        <v>18.498548</v>
      </c>
      <c r="CG183" s="260">
        <v>18.531265999999999</v>
      </c>
      <c r="CH183" s="260">
        <v>18.563832999999999</v>
      </c>
    </row>
    <row r="184" spans="1:86" x14ac:dyDescent="0.25">
      <c r="A184" s="170">
        <v>2</v>
      </c>
      <c r="B184" s="170">
        <v>73</v>
      </c>
      <c r="C184" s="259">
        <v>14.711531639099121</v>
      </c>
      <c r="D184" s="259">
        <v>14.777649879455566</v>
      </c>
      <c r="E184" s="259">
        <v>14.843232154846191</v>
      </c>
      <c r="F184" s="259">
        <v>14.908278465270996</v>
      </c>
      <c r="G184" s="259">
        <v>14.97278881072998</v>
      </c>
      <c r="H184" s="259">
        <v>15.03676700592041</v>
      </c>
      <c r="I184" s="260">
        <v>15.002409999999999</v>
      </c>
      <c r="J184" s="260">
        <v>15.051831999999999</v>
      </c>
      <c r="K184" s="260">
        <v>15.099886999999999</v>
      </c>
      <c r="L184" s="260">
        <v>15.146732999999999</v>
      </c>
      <c r="M184" s="260">
        <v>15.192528999999999</v>
      </c>
      <c r="N184" s="260">
        <v>15.237430999999999</v>
      </c>
      <c r="O184" s="260">
        <v>15.281585</v>
      </c>
      <c r="P184" s="260">
        <v>15.325127</v>
      </c>
      <c r="Q184" s="260">
        <v>15.368181</v>
      </c>
      <c r="R184" s="260">
        <v>15.410855</v>
      </c>
      <c r="S184" s="260">
        <v>15.453239</v>
      </c>
      <c r="T184" s="260">
        <v>15.495405</v>
      </c>
      <c r="U184" s="260">
        <v>15.537403999999999</v>
      </c>
      <c r="V184" s="260">
        <v>15.579269</v>
      </c>
      <c r="W184" s="260">
        <v>15.621008999999999</v>
      </c>
      <c r="X184" s="260">
        <v>15.662623</v>
      </c>
      <c r="Y184" s="260">
        <v>15.704110999999999</v>
      </c>
      <c r="Z184" s="260">
        <v>15.745471999999999</v>
      </c>
      <c r="AA184" s="260">
        <v>15.786703999999999</v>
      </c>
      <c r="AB184" s="260">
        <v>15.827807</v>
      </c>
      <c r="AC184" s="260">
        <v>15.868779999999999</v>
      </c>
      <c r="AD184" s="260">
        <v>15.909621999999999</v>
      </c>
      <c r="AE184" s="260">
        <v>15.950332999999999</v>
      </c>
      <c r="AF184" s="260">
        <v>15.990910999999999</v>
      </c>
      <c r="AG184" s="260">
        <v>16.031354999999998</v>
      </c>
      <c r="AH184" s="260">
        <v>16.071666</v>
      </c>
      <c r="AI184" s="260">
        <v>16.111841999999999</v>
      </c>
      <c r="AJ184" s="260">
        <v>16.151882000000001</v>
      </c>
      <c r="AK184" s="260">
        <v>16.191786</v>
      </c>
      <c r="AL184" s="260">
        <v>16.231552999999998</v>
      </c>
      <c r="AM184" s="260">
        <v>16.271183000000001</v>
      </c>
      <c r="AN184" s="260">
        <v>16.310673999999999</v>
      </c>
      <c r="AO184" s="260">
        <v>16.350027000000001</v>
      </c>
      <c r="AP184" s="260">
        <v>16.389240000000001</v>
      </c>
      <c r="AQ184" s="260">
        <v>16.428311999999998</v>
      </c>
      <c r="AR184" s="260">
        <v>16.467244000000001</v>
      </c>
      <c r="AS184" s="260">
        <v>16.506035000000001</v>
      </c>
      <c r="AT184" s="260">
        <v>16.544684</v>
      </c>
      <c r="AU184" s="260">
        <v>16.583190999999999</v>
      </c>
      <c r="AV184" s="260">
        <v>16.621555000000001</v>
      </c>
      <c r="AW184" s="260">
        <v>16.659775</v>
      </c>
      <c r="AX184" s="260">
        <v>16.697851999999997</v>
      </c>
      <c r="AY184" s="260">
        <v>16.735783999999999</v>
      </c>
      <c r="AZ184" s="260">
        <v>16.773571999999998</v>
      </c>
      <c r="BA184" s="260">
        <v>16.811215000000001</v>
      </c>
      <c r="BB184" s="260">
        <v>16.848711999999999</v>
      </c>
      <c r="BC184" s="260">
        <v>16.886063</v>
      </c>
      <c r="BD184" s="260">
        <v>16.923266999999999</v>
      </c>
      <c r="BE184" s="260">
        <v>16.960325000000001</v>
      </c>
      <c r="BF184" s="260">
        <v>16.997236000000001</v>
      </c>
      <c r="BG184" s="260">
        <v>17.033999999999999</v>
      </c>
      <c r="BH184" s="260">
        <v>17.070615999999998</v>
      </c>
      <c r="BI184" s="260">
        <v>17.107084</v>
      </c>
      <c r="BJ184" s="260">
        <v>17.143402999999999</v>
      </c>
      <c r="BK184" s="260">
        <v>17.179575</v>
      </c>
      <c r="BL184" s="260">
        <v>17.215596999999999</v>
      </c>
      <c r="BM184" s="260">
        <v>17.251470999999999</v>
      </c>
      <c r="BN184" s="260">
        <v>17.287195000000001</v>
      </c>
      <c r="BO184" s="260">
        <v>17.322769999999998</v>
      </c>
      <c r="BP184" s="260">
        <v>17.358194999999998</v>
      </c>
      <c r="BQ184" s="260">
        <v>17.393470000000001</v>
      </c>
      <c r="BR184" s="260">
        <v>17.428595999999999</v>
      </c>
      <c r="BS184" s="260">
        <v>17.463570999999998</v>
      </c>
      <c r="BT184" s="260">
        <v>17.498397000000001</v>
      </c>
      <c r="BU184" s="260">
        <v>17.533072000000001</v>
      </c>
      <c r="BV184" s="260">
        <v>17.567595999999998</v>
      </c>
      <c r="BW184" s="260">
        <v>17.601969999999998</v>
      </c>
      <c r="BX184" s="260">
        <v>17.636192999999999</v>
      </c>
      <c r="BY184" s="260">
        <v>17.670265999999998</v>
      </c>
      <c r="BZ184" s="260">
        <v>17.704187999999998</v>
      </c>
      <c r="CA184" s="260">
        <v>17.737959</v>
      </c>
      <c r="CB184" s="260">
        <v>17.77158</v>
      </c>
      <c r="CC184" s="260">
        <v>17.805049999999998</v>
      </c>
      <c r="CD184" s="260">
        <v>17.838369</v>
      </c>
      <c r="CE184" s="260">
        <v>17.871537</v>
      </c>
      <c r="CF184" s="260">
        <v>17.904553999999997</v>
      </c>
      <c r="CG184" s="260">
        <v>17.937421000000001</v>
      </c>
      <c r="CH184" s="260">
        <v>17.970136999999998</v>
      </c>
    </row>
    <row r="185" spans="1:86" x14ac:dyDescent="0.25">
      <c r="A185" s="170">
        <v>2</v>
      </c>
      <c r="B185" s="170">
        <v>74</v>
      </c>
      <c r="C185" s="259">
        <v>14.097983360290527</v>
      </c>
      <c r="D185" s="259">
        <v>14.162939071655273</v>
      </c>
      <c r="E185" s="259">
        <v>14.227391242980957</v>
      </c>
      <c r="F185" s="259">
        <v>14.291339874267578</v>
      </c>
      <c r="G185" s="259">
        <v>14.354785919189453</v>
      </c>
      <c r="H185" s="259">
        <v>14.417732238769531</v>
      </c>
      <c r="I185" s="260">
        <v>14.399348</v>
      </c>
      <c r="J185" s="260">
        <v>14.448967999999999</v>
      </c>
      <c r="K185" s="260">
        <v>14.497178</v>
      </c>
      <c r="L185" s="260">
        <v>14.544136999999999</v>
      </c>
      <c r="M185" s="260">
        <v>14.590005</v>
      </c>
      <c r="N185" s="260">
        <v>14.634939999999999</v>
      </c>
      <c r="O185" s="260">
        <v>14.679095999999999</v>
      </c>
      <c r="P185" s="260">
        <v>14.722614999999999</v>
      </c>
      <c r="Q185" s="260">
        <v>14.765625999999999</v>
      </c>
      <c r="R185" s="260">
        <v>14.808244</v>
      </c>
      <c r="S185" s="260">
        <v>14.850565</v>
      </c>
      <c r="T185" s="260">
        <v>14.892664999999999</v>
      </c>
      <c r="U185" s="260">
        <v>14.9346</v>
      </c>
      <c r="V185" s="260">
        <v>14.976403999999999</v>
      </c>
      <c r="W185" s="260">
        <v>15.018087</v>
      </c>
      <c r="X185" s="260">
        <v>15.059647999999999</v>
      </c>
      <c r="Y185" s="260">
        <v>15.101087</v>
      </c>
      <c r="Z185" s="260">
        <v>15.142401</v>
      </c>
      <c r="AA185" s="260">
        <v>15.183591999999999</v>
      </c>
      <c r="AB185" s="260">
        <v>15.224656999999999</v>
      </c>
      <c r="AC185" s="260">
        <v>15.265594999999999</v>
      </c>
      <c r="AD185" s="260">
        <v>15.306405999999999</v>
      </c>
      <c r="AE185" s="260">
        <v>15.347088999999999</v>
      </c>
      <c r="AF185" s="260">
        <v>15.387644</v>
      </c>
      <c r="AG185" s="260">
        <v>15.428068</v>
      </c>
      <c r="AH185" s="260">
        <v>15.468361999999999</v>
      </c>
      <c r="AI185" s="260">
        <v>15.508524</v>
      </c>
      <c r="AJ185" s="260">
        <v>15.548553999999999</v>
      </c>
      <c r="AK185" s="260">
        <v>15.588450999999999</v>
      </c>
      <c r="AL185" s="260">
        <v>15.628214999999999</v>
      </c>
      <c r="AM185" s="260">
        <v>15.667843999999999</v>
      </c>
      <c r="AN185" s="260">
        <v>15.707338</v>
      </c>
      <c r="AO185" s="260">
        <v>15.746696999999999</v>
      </c>
      <c r="AP185" s="260">
        <v>15.785919</v>
      </c>
      <c r="AQ185" s="260">
        <v>15.825004</v>
      </c>
      <c r="AR185" s="260">
        <v>15.863951999999999</v>
      </c>
      <c r="AS185" s="260">
        <v>15.902761</v>
      </c>
      <c r="AT185" s="260">
        <v>15.941431</v>
      </c>
      <c r="AU185" s="260">
        <v>15.979961999999999</v>
      </c>
      <c r="AV185" s="260">
        <v>16.018352999999998</v>
      </c>
      <c r="AW185" s="260">
        <v>16.056604</v>
      </c>
      <c r="AX185" s="260">
        <v>16.094712999999999</v>
      </c>
      <c r="AY185" s="260">
        <v>16.132680999999998</v>
      </c>
      <c r="AZ185" s="260">
        <v>16.170507000000001</v>
      </c>
      <c r="BA185" s="260">
        <v>16.208190999999999</v>
      </c>
      <c r="BB185" s="260">
        <v>16.245732</v>
      </c>
      <c r="BC185" s="260">
        <v>16.283128999999999</v>
      </c>
      <c r="BD185" s="260">
        <v>16.320383</v>
      </c>
      <c r="BE185" s="260">
        <v>16.357492999999998</v>
      </c>
      <c r="BF185" s="260">
        <v>16.394458</v>
      </c>
      <c r="BG185" s="260">
        <v>16.431277999999999</v>
      </c>
      <c r="BH185" s="260">
        <v>16.467953999999999</v>
      </c>
      <c r="BI185" s="260">
        <v>16.504483</v>
      </c>
      <c r="BJ185" s="260">
        <v>16.540866999999999</v>
      </c>
      <c r="BK185" s="260">
        <v>16.577105</v>
      </c>
      <c r="BL185" s="260">
        <v>16.613195999999999</v>
      </c>
      <c r="BM185" s="260">
        <v>16.649139999999999</v>
      </c>
      <c r="BN185" s="260">
        <v>16.684937999999999</v>
      </c>
      <c r="BO185" s="260">
        <v>16.720587999999999</v>
      </c>
      <c r="BP185" s="260">
        <v>16.756090999999998</v>
      </c>
      <c r="BQ185" s="260">
        <v>16.791446999999998</v>
      </c>
      <c r="BR185" s="260">
        <v>16.826653999999998</v>
      </c>
      <c r="BS185" s="260">
        <v>16.861713999999999</v>
      </c>
      <c r="BT185" s="260">
        <v>16.896625999999998</v>
      </c>
      <c r="BU185" s="260">
        <v>16.931388999999999</v>
      </c>
      <c r="BV185" s="260">
        <v>16.966003999999998</v>
      </c>
      <c r="BW185" s="260">
        <v>17.00047</v>
      </c>
      <c r="BX185" s="260">
        <v>17.034787999999999</v>
      </c>
      <c r="BY185" s="260">
        <v>17.068956</v>
      </c>
      <c r="BZ185" s="260">
        <v>17.102975999999998</v>
      </c>
      <c r="CA185" s="260">
        <v>17.136848000000001</v>
      </c>
      <c r="CB185" s="260">
        <v>17.170569999999998</v>
      </c>
      <c r="CC185" s="260">
        <v>17.204142999999998</v>
      </c>
      <c r="CD185" s="260">
        <v>17.237566999999999</v>
      </c>
      <c r="CE185" s="260">
        <v>17.270842999999999</v>
      </c>
      <c r="CF185" s="260">
        <v>17.303968999999999</v>
      </c>
      <c r="CG185" s="260">
        <v>17.336945999999998</v>
      </c>
      <c r="CH185" s="260">
        <v>17.369774</v>
      </c>
    </row>
    <row r="186" spans="1:86" x14ac:dyDescent="0.25">
      <c r="A186" s="170">
        <v>2</v>
      </c>
      <c r="B186" s="170">
        <v>75</v>
      </c>
      <c r="C186" s="259">
        <v>13.486663818359375</v>
      </c>
      <c r="D186" s="259">
        <v>13.550182342529297</v>
      </c>
      <c r="E186" s="259">
        <v>13.613231658935547</v>
      </c>
      <c r="F186" s="259">
        <v>13.675815582275391</v>
      </c>
      <c r="G186" s="259">
        <v>13.737934112548828</v>
      </c>
      <c r="H186" s="259">
        <v>13.799586296081543</v>
      </c>
      <c r="I186" s="260">
        <v>13.793998999999999</v>
      </c>
      <c r="J186" s="260">
        <v>13.843743</v>
      </c>
      <c r="K186" s="260">
        <v>13.892040999999999</v>
      </c>
      <c r="L186" s="260">
        <v>13.939050999999999</v>
      </c>
      <c r="M186" s="260">
        <v>13.984933</v>
      </c>
      <c r="N186" s="260">
        <v>14.029848999999999</v>
      </c>
      <c r="O186" s="260">
        <v>14.073953999999999</v>
      </c>
      <c r="P186" s="260">
        <v>14.117396999999999</v>
      </c>
      <c r="Q186" s="260">
        <v>14.160311999999999</v>
      </c>
      <c r="R186" s="260">
        <v>14.202819999999999</v>
      </c>
      <c r="S186" s="260">
        <v>14.245023</v>
      </c>
      <c r="T186" s="260">
        <v>14.287001999999999</v>
      </c>
      <c r="U186" s="260">
        <v>14.328816999999999</v>
      </c>
      <c r="V186" s="260">
        <v>14.370503999999999</v>
      </c>
      <c r="W186" s="260">
        <v>14.412073999999999</v>
      </c>
      <c r="X186" s="260">
        <v>14.453526</v>
      </c>
      <c r="Y186" s="260">
        <v>14.494859999999999</v>
      </c>
      <c r="Z186" s="260">
        <v>14.536073999999999</v>
      </c>
      <c r="AA186" s="260">
        <v>14.577166999999999</v>
      </c>
      <c r="AB186" s="260">
        <v>14.618138999999999</v>
      </c>
      <c r="AC186" s="260">
        <v>14.658987999999999</v>
      </c>
      <c r="AD186" s="260">
        <v>14.699714</v>
      </c>
      <c r="AE186" s="260">
        <v>14.740314999999999</v>
      </c>
      <c r="AF186" s="260">
        <v>14.780790999999999</v>
      </c>
      <c r="AG186" s="260">
        <v>14.821140999999999</v>
      </c>
      <c r="AH186" s="260">
        <v>14.861364</v>
      </c>
      <c r="AI186" s="260">
        <v>14.901458999999999</v>
      </c>
      <c r="AJ186" s="260">
        <v>14.941426</v>
      </c>
      <c r="AK186" s="260">
        <v>14.981262999999998</v>
      </c>
      <c r="AL186" s="260">
        <v>15.02097</v>
      </c>
      <c r="AM186" s="260">
        <v>15.060545999999999</v>
      </c>
      <c r="AN186" s="260">
        <v>15.099990999999999</v>
      </c>
      <c r="AO186" s="260">
        <v>15.139303</v>
      </c>
      <c r="AP186" s="260">
        <v>15.178481999999999</v>
      </c>
      <c r="AQ186" s="260">
        <v>15.217526999999999</v>
      </c>
      <c r="AR186" s="260">
        <v>15.256437999999999</v>
      </c>
      <c r="AS186" s="260">
        <v>15.295214</v>
      </c>
      <c r="AT186" s="260">
        <v>15.333853999999999</v>
      </c>
      <c r="AU186" s="260">
        <v>15.372358</v>
      </c>
      <c r="AV186" s="260">
        <v>15.410725999999999</v>
      </c>
      <c r="AW186" s="260">
        <v>15.448955999999999</v>
      </c>
      <c r="AX186" s="260">
        <v>15.487046999999999</v>
      </c>
      <c r="AY186" s="260">
        <v>15.525001</v>
      </c>
      <c r="AZ186" s="260">
        <v>15.562814999999999</v>
      </c>
      <c r="BA186" s="260">
        <v>15.600489999999999</v>
      </c>
      <c r="BB186" s="260">
        <v>15.638024999999999</v>
      </c>
      <c r="BC186" s="260">
        <v>15.675419999999999</v>
      </c>
      <c r="BD186" s="260">
        <v>15.712672999999999</v>
      </c>
      <c r="BE186" s="260">
        <v>15.749785999999999</v>
      </c>
      <c r="BF186" s="260">
        <v>15.786755999999999</v>
      </c>
      <c r="BG186" s="260">
        <v>15.823585</v>
      </c>
      <c r="BH186" s="260">
        <v>15.860270999999999</v>
      </c>
      <c r="BI186" s="260">
        <v>15.896813999999999</v>
      </c>
      <c r="BJ186" s="260">
        <v>15.933214</v>
      </c>
      <c r="BK186" s="260">
        <v>15.969470999999999</v>
      </c>
      <c r="BL186" s="260">
        <v>16.005582999999998</v>
      </c>
      <c r="BM186" s="260">
        <v>16.041551999999999</v>
      </c>
      <c r="BN186" s="260">
        <v>16.077376000000001</v>
      </c>
      <c r="BO186" s="260">
        <v>16.113054999999999</v>
      </c>
      <c r="BP186" s="260">
        <v>16.148588999999998</v>
      </c>
      <c r="BQ186" s="260">
        <v>16.183978</v>
      </c>
      <c r="BR186" s="260">
        <v>16.219221999999998</v>
      </c>
      <c r="BS186" s="260">
        <v>16.25432</v>
      </c>
      <c r="BT186" s="260">
        <v>16.289272</v>
      </c>
      <c r="BU186" s="260">
        <v>16.324078999999998</v>
      </c>
      <c r="BV186" s="260">
        <v>16.358739</v>
      </c>
      <c r="BW186" s="260">
        <v>16.393252999999998</v>
      </c>
      <c r="BX186" s="260">
        <v>16.427620000000001</v>
      </c>
      <c r="BY186" s="260">
        <v>16.461841</v>
      </c>
      <c r="BZ186" s="260">
        <v>16.495915</v>
      </c>
      <c r="CA186" s="260">
        <v>16.529841999999999</v>
      </c>
      <c r="CB186" s="260">
        <v>16.563623</v>
      </c>
      <c r="CC186" s="260">
        <v>16.597255999999998</v>
      </c>
      <c r="CD186" s="260">
        <v>16.630742999999999</v>
      </c>
      <c r="CE186" s="260">
        <v>16.664082999999998</v>
      </c>
      <c r="CF186" s="260">
        <v>16.697274999999998</v>
      </c>
      <c r="CG186" s="260">
        <v>16.730319999999999</v>
      </c>
      <c r="CH186" s="260">
        <v>16.763218999999999</v>
      </c>
    </row>
    <row r="187" spans="1:86" x14ac:dyDescent="0.25">
      <c r="A187" s="170">
        <v>2</v>
      </c>
      <c r="B187" s="170">
        <v>76</v>
      </c>
      <c r="C187" s="259">
        <v>12.881192207336426</v>
      </c>
      <c r="D187" s="259">
        <v>12.943314552307129</v>
      </c>
      <c r="E187" s="259">
        <v>13.005000114440918</v>
      </c>
      <c r="F187" s="259">
        <v>13.06624698638916</v>
      </c>
      <c r="G187" s="259">
        <v>13.127057075500488</v>
      </c>
      <c r="H187" s="259">
        <v>13.187429428100586</v>
      </c>
      <c r="I187" s="260">
        <v>13.188564</v>
      </c>
      <c r="J187" s="260">
        <v>13.238322999999999</v>
      </c>
      <c r="K187" s="260">
        <v>13.286612999999999</v>
      </c>
      <c r="L187" s="260">
        <v>13.333585999999999</v>
      </c>
      <c r="M187" s="260">
        <v>13.379401999999999</v>
      </c>
      <c r="N187" s="260">
        <v>13.424223</v>
      </c>
      <c r="O187" s="260">
        <v>13.468205999999999</v>
      </c>
      <c r="P187" s="260">
        <v>13.511502999999999</v>
      </c>
      <c r="Q187" s="260">
        <v>13.554254</v>
      </c>
      <c r="R187" s="260">
        <v>13.596584</v>
      </c>
      <c r="S187" s="260">
        <v>13.638599999999999</v>
      </c>
      <c r="T187" s="260">
        <v>13.680389999999999</v>
      </c>
      <c r="U187" s="260">
        <v>13.722016</v>
      </c>
      <c r="V187" s="260">
        <v>13.763517</v>
      </c>
      <c r="W187" s="260">
        <v>13.804905999999999</v>
      </c>
      <c r="X187" s="260">
        <v>13.846181</v>
      </c>
      <c r="Y187" s="260">
        <v>13.887341999999999</v>
      </c>
      <c r="Z187" s="260">
        <v>13.928386999999999</v>
      </c>
      <c r="AA187" s="260">
        <v>13.969315999999999</v>
      </c>
      <c r="AB187" s="260">
        <v>14.010126999999999</v>
      </c>
      <c r="AC187" s="260">
        <v>14.05082</v>
      </c>
      <c r="AD187" s="260">
        <v>14.091393</v>
      </c>
      <c r="AE187" s="260">
        <v>14.131845999999999</v>
      </c>
      <c r="AF187" s="260">
        <v>14.172177</v>
      </c>
      <c r="AG187" s="260">
        <v>14.212385999999999</v>
      </c>
      <c r="AH187" s="260">
        <v>14.252471999999999</v>
      </c>
      <c r="AI187" s="260">
        <v>14.292434</v>
      </c>
      <c r="AJ187" s="260">
        <v>14.332270999999999</v>
      </c>
      <c r="AK187" s="260">
        <v>14.371981999999999</v>
      </c>
      <c r="AL187" s="260">
        <v>14.411567</v>
      </c>
      <c r="AM187" s="260">
        <v>14.451025</v>
      </c>
      <c r="AN187" s="260">
        <v>14.490354999999999</v>
      </c>
      <c r="AO187" s="260">
        <v>14.529555999999999</v>
      </c>
      <c r="AP187" s="260">
        <v>14.568627999999999</v>
      </c>
      <c r="AQ187" s="260">
        <v>14.607569</v>
      </c>
      <c r="AR187" s="260">
        <v>14.646379</v>
      </c>
      <c r="AS187" s="260">
        <v>14.685058</v>
      </c>
      <c r="AT187" s="260">
        <v>14.723604999999999</v>
      </c>
      <c r="AU187" s="260">
        <v>14.762018999999999</v>
      </c>
      <c r="AV187" s="260">
        <v>14.800298999999999</v>
      </c>
      <c r="AW187" s="260">
        <v>14.838445999999999</v>
      </c>
      <c r="AX187" s="260">
        <v>14.876456999999998</v>
      </c>
      <c r="AY187" s="260">
        <v>14.914334</v>
      </c>
      <c r="AZ187" s="260">
        <v>14.952074999999999</v>
      </c>
      <c r="BA187" s="260">
        <v>14.989678999999999</v>
      </c>
      <c r="BB187" s="260">
        <v>15.027146999999999</v>
      </c>
      <c r="BC187" s="260">
        <v>15.064477</v>
      </c>
      <c r="BD187" s="260">
        <v>15.101669999999999</v>
      </c>
      <c r="BE187" s="260">
        <v>15.138724</v>
      </c>
      <c r="BF187" s="260">
        <v>15.17564</v>
      </c>
      <c r="BG187" s="260">
        <v>15.212415999999999</v>
      </c>
      <c r="BH187" s="260">
        <v>15.249053</v>
      </c>
      <c r="BI187" s="260">
        <v>15.285549999999999</v>
      </c>
      <c r="BJ187" s="260">
        <v>15.321906999999999</v>
      </c>
      <c r="BK187" s="260">
        <v>15.358122999999999</v>
      </c>
      <c r="BL187" s="260">
        <v>15.394197999999999</v>
      </c>
      <c r="BM187" s="260">
        <v>15.430131999999999</v>
      </c>
      <c r="BN187" s="260">
        <v>15.465923999999999</v>
      </c>
      <c r="BO187" s="260">
        <v>15.501574999999999</v>
      </c>
      <c r="BP187" s="260">
        <v>15.537082999999999</v>
      </c>
      <c r="BQ187" s="260">
        <v>15.572448</v>
      </c>
      <c r="BR187" s="260">
        <v>15.607671</v>
      </c>
      <c r="BS187" s="260">
        <v>15.642750999999999</v>
      </c>
      <c r="BT187" s="260">
        <v>15.677686999999999</v>
      </c>
      <c r="BU187" s="260">
        <v>15.712479999999999</v>
      </c>
      <c r="BV187" s="260">
        <v>15.747129999999999</v>
      </c>
      <c r="BW187" s="260">
        <v>15.781635</v>
      </c>
      <c r="BX187" s="260">
        <v>15.815996999999999</v>
      </c>
      <c r="BY187" s="260">
        <v>15.850214999999999</v>
      </c>
      <c r="BZ187" s="260">
        <v>15.884288</v>
      </c>
      <c r="CA187" s="260">
        <v>15.918216999999999</v>
      </c>
      <c r="CB187" s="260">
        <v>15.952001999999998</v>
      </c>
      <c r="CC187" s="260">
        <v>15.985641999999999</v>
      </c>
      <c r="CD187" s="260">
        <v>16.019137000000001</v>
      </c>
      <c r="CE187" s="260">
        <v>16.052486999999999</v>
      </c>
      <c r="CF187" s="260">
        <v>16.085692999999999</v>
      </c>
      <c r="CG187" s="260">
        <v>16.118753999999999</v>
      </c>
      <c r="CH187" s="260">
        <v>16.151669999999999</v>
      </c>
    </row>
    <row r="188" spans="1:86" x14ac:dyDescent="0.25">
      <c r="A188" s="170">
        <v>2</v>
      </c>
      <c r="B188" s="170">
        <v>77</v>
      </c>
      <c r="C188" s="259">
        <v>12.281337738037109</v>
      </c>
      <c r="D188" s="259">
        <v>12.34177303314209</v>
      </c>
      <c r="E188" s="259">
        <v>12.401802062988281</v>
      </c>
      <c r="F188" s="259">
        <v>12.46142578125</v>
      </c>
      <c r="G188" s="259">
        <v>12.520644187927246</v>
      </c>
      <c r="H188" s="259">
        <v>12.579456329345703</v>
      </c>
      <c r="I188" s="260">
        <v>12.585839999999999</v>
      </c>
      <c r="J188" s="260">
        <v>12.635467</v>
      </c>
      <c r="K188" s="260">
        <v>12.683613999999999</v>
      </c>
      <c r="L188" s="260">
        <v>12.730428999999999</v>
      </c>
      <c r="M188" s="260">
        <v>12.776067999999999</v>
      </c>
      <c r="N188" s="260">
        <v>12.820689999999999</v>
      </c>
      <c r="O188" s="260">
        <v>12.864455</v>
      </c>
      <c r="P188" s="260">
        <v>12.907515</v>
      </c>
      <c r="Q188" s="260">
        <v>12.950011999999999</v>
      </c>
      <c r="R188" s="260">
        <v>12.992077999999999</v>
      </c>
      <c r="S188" s="260">
        <v>13.033823</v>
      </c>
      <c r="T188" s="260">
        <v>13.075337999999999</v>
      </c>
      <c r="U188" s="260">
        <v>13.116690999999999</v>
      </c>
      <c r="V188" s="260">
        <v>13.157921999999999</v>
      </c>
      <c r="W188" s="260">
        <v>13.199045</v>
      </c>
      <c r="X188" s="260">
        <v>13.24006</v>
      </c>
      <c r="Y188" s="260">
        <v>13.280963999999999</v>
      </c>
      <c r="Z188" s="260">
        <v>13.321757</v>
      </c>
      <c r="AA188" s="260">
        <v>13.362437999999999</v>
      </c>
      <c r="AB188" s="260">
        <v>13.403005</v>
      </c>
      <c r="AC188" s="260">
        <v>13.443458</v>
      </c>
      <c r="AD188" s="260">
        <v>13.483796</v>
      </c>
      <c r="AE188" s="260">
        <v>13.524018</v>
      </c>
      <c r="AF188" s="260">
        <v>13.564121999999999</v>
      </c>
      <c r="AG188" s="260">
        <v>13.604108</v>
      </c>
      <c r="AH188" s="260">
        <v>13.643975999999999</v>
      </c>
      <c r="AI188" s="260">
        <v>13.683722999999999</v>
      </c>
      <c r="AJ188" s="260">
        <v>13.723348999999999</v>
      </c>
      <c r="AK188" s="260">
        <v>13.762853999999999</v>
      </c>
      <c r="AL188" s="260">
        <v>13.802235999999999</v>
      </c>
      <c r="AM188" s="260">
        <v>13.841495</v>
      </c>
      <c r="AN188" s="260">
        <v>13.88063</v>
      </c>
      <c r="AO188" s="260">
        <v>13.919639999999999</v>
      </c>
      <c r="AP188" s="260">
        <v>13.958525</v>
      </c>
      <c r="AQ188" s="260">
        <v>13.997282999999999</v>
      </c>
      <c r="AR188" s="260">
        <v>14.035914</v>
      </c>
      <c r="AS188" s="260">
        <v>14.074416999999999</v>
      </c>
      <c r="AT188" s="260">
        <v>14.112791</v>
      </c>
      <c r="AU188" s="260">
        <v>14.151036999999999</v>
      </c>
      <c r="AV188" s="260">
        <v>14.189152</v>
      </c>
      <c r="AW188" s="260">
        <v>14.227136999999999</v>
      </c>
      <c r="AX188" s="260">
        <v>14.264991999999999</v>
      </c>
      <c r="AY188" s="260">
        <v>14.302714</v>
      </c>
      <c r="AZ188" s="260">
        <v>14.340304</v>
      </c>
      <c r="BA188" s="260">
        <v>14.377761999999999</v>
      </c>
      <c r="BB188" s="260">
        <v>14.415085999999999</v>
      </c>
      <c r="BC188" s="260">
        <v>14.452275999999999</v>
      </c>
      <c r="BD188" s="260">
        <v>14.489331999999999</v>
      </c>
      <c r="BE188" s="260">
        <v>14.526252999999999</v>
      </c>
      <c r="BF188" s="260">
        <v>14.563039</v>
      </c>
      <c r="BG188" s="260">
        <v>14.599689</v>
      </c>
      <c r="BH188" s="260">
        <v>14.636203</v>
      </c>
      <c r="BI188" s="260">
        <v>14.67258</v>
      </c>
      <c r="BJ188" s="260">
        <v>14.708819999999999</v>
      </c>
      <c r="BK188" s="260">
        <v>14.744921999999999</v>
      </c>
      <c r="BL188" s="260">
        <v>14.780887</v>
      </c>
      <c r="BM188" s="260">
        <v>14.816713999999999</v>
      </c>
      <c r="BN188" s="260">
        <v>14.852402</v>
      </c>
      <c r="BO188" s="260">
        <v>14.887950999999999</v>
      </c>
      <c r="BP188" s="260">
        <v>14.923361</v>
      </c>
      <c r="BQ188" s="260">
        <v>14.958632</v>
      </c>
      <c r="BR188" s="260">
        <v>14.993761999999998</v>
      </c>
      <c r="BS188" s="260">
        <v>15.028753</v>
      </c>
      <c r="BT188" s="260">
        <v>15.063604</v>
      </c>
      <c r="BU188" s="260">
        <v>15.098313999999998</v>
      </c>
      <c r="BV188" s="260">
        <v>15.132883</v>
      </c>
      <c r="BW188" s="260">
        <v>15.167311</v>
      </c>
      <c r="BX188" s="260">
        <v>15.201599</v>
      </c>
      <c r="BY188" s="260">
        <v>15.235745</v>
      </c>
      <c r="BZ188" s="260">
        <v>15.269748999999999</v>
      </c>
      <c r="CA188" s="260">
        <v>15.303611999999999</v>
      </c>
      <c r="CB188" s="260">
        <v>15.337332999999999</v>
      </c>
      <c r="CC188" s="260">
        <v>15.370911999999999</v>
      </c>
      <c r="CD188" s="260">
        <v>15.404349</v>
      </c>
      <c r="CE188" s="260">
        <v>15.437645</v>
      </c>
      <c r="CF188" s="260">
        <v>15.470796999999999</v>
      </c>
      <c r="CG188" s="260">
        <v>15.503807999999999</v>
      </c>
      <c r="CH188" s="260">
        <v>15.536676999999999</v>
      </c>
    </row>
    <row r="189" spans="1:86" x14ac:dyDescent="0.25">
      <c r="A189" s="170">
        <v>2</v>
      </c>
      <c r="B189" s="170">
        <v>78</v>
      </c>
      <c r="C189" s="259">
        <v>11.690221786499023</v>
      </c>
      <c r="D189" s="259">
        <v>11.74862003326416</v>
      </c>
      <c r="E189" s="259">
        <v>11.806650161743164</v>
      </c>
      <c r="F189" s="259">
        <v>11.864311218261719</v>
      </c>
      <c r="G189" s="259">
        <v>11.921602249145508</v>
      </c>
      <c r="H189" s="259">
        <v>11.978524208068848</v>
      </c>
      <c r="I189" s="260">
        <v>11.988173</v>
      </c>
      <c r="J189" s="260">
        <v>12.03749</v>
      </c>
      <c r="K189" s="260">
        <v>12.085333</v>
      </c>
      <c r="L189" s="260">
        <v>12.131843999999999</v>
      </c>
      <c r="M189" s="260">
        <v>12.177171</v>
      </c>
      <c r="N189" s="260">
        <v>12.22147</v>
      </c>
      <c r="O189" s="260">
        <v>12.264899999999999</v>
      </c>
      <c r="P189" s="260">
        <v>12.307613</v>
      </c>
      <c r="Q189" s="260">
        <v>12.349753999999999</v>
      </c>
      <c r="R189" s="260">
        <v>12.391454</v>
      </c>
      <c r="S189" s="260">
        <v>12.432829</v>
      </c>
      <c r="T189" s="260">
        <v>12.473972</v>
      </c>
      <c r="U189" s="260">
        <v>12.514954999999999</v>
      </c>
      <c r="V189" s="260">
        <v>12.555819</v>
      </c>
      <c r="W189" s="260">
        <v>12.596580999999999</v>
      </c>
      <c r="X189" s="260">
        <v>12.637238</v>
      </c>
      <c r="Y189" s="260">
        <v>12.67779</v>
      </c>
      <c r="Z189" s="260">
        <v>12.718233999999999</v>
      </c>
      <c r="AA189" s="260">
        <v>12.758571</v>
      </c>
      <c r="AB189" s="260">
        <v>12.7988</v>
      </c>
      <c r="AC189" s="260">
        <v>12.838918</v>
      </c>
      <c r="AD189" s="260">
        <v>12.878926</v>
      </c>
      <c r="AE189" s="260">
        <v>12.918820999999999</v>
      </c>
      <c r="AF189" s="260">
        <v>12.958603999999999</v>
      </c>
      <c r="AG189" s="260">
        <v>12.998272999999999</v>
      </c>
      <c r="AH189" s="260">
        <v>13.037827999999999</v>
      </c>
      <c r="AI189" s="260">
        <v>13.077266999999999</v>
      </c>
      <c r="AJ189" s="260">
        <v>13.116588999999999</v>
      </c>
      <c r="AK189" s="260">
        <v>13.155794</v>
      </c>
      <c r="AL189" s="260">
        <v>13.194879999999999</v>
      </c>
      <c r="AM189" s="260">
        <v>13.233848</v>
      </c>
      <c r="AN189" s="260">
        <v>13.272694999999999</v>
      </c>
      <c r="AO189" s="260">
        <v>13.311421999999999</v>
      </c>
      <c r="AP189" s="260">
        <v>13.350028</v>
      </c>
      <c r="AQ189" s="260">
        <v>13.388510999999999</v>
      </c>
      <c r="AR189" s="260">
        <v>13.426871</v>
      </c>
      <c r="AS189" s="260">
        <v>13.465107</v>
      </c>
      <c r="AT189" s="260">
        <v>13.503219</v>
      </c>
      <c r="AU189" s="260">
        <v>13.541205</v>
      </c>
      <c r="AV189" s="260">
        <v>13.579065999999999</v>
      </c>
      <c r="AW189" s="260">
        <v>13.6168</v>
      </c>
      <c r="AX189" s="260">
        <v>13.654406999999999</v>
      </c>
      <c r="AY189" s="260">
        <v>13.691886999999999</v>
      </c>
      <c r="AZ189" s="260">
        <v>13.729237999999999</v>
      </c>
      <c r="BA189" s="260">
        <v>13.766459999999999</v>
      </c>
      <c r="BB189" s="260">
        <v>13.803552</v>
      </c>
      <c r="BC189" s="260">
        <v>13.840515</v>
      </c>
      <c r="BD189" s="260">
        <v>13.877345999999999</v>
      </c>
      <c r="BE189" s="260">
        <v>13.914047</v>
      </c>
      <c r="BF189" s="260">
        <v>13.950616</v>
      </c>
      <c r="BG189" s="260">
        <v>13.987053</v>
      </c>
      <c r="BH189" s="260">
        <v>14.023356999999999</v>
      </c>
      <c r="BI189" s="260">
        <v>14.059528999999999</v>
      </c>
      <c r="BJ189" s="260">
        <v>14.095566999999999</v>
      </c>
      <c r="BK189" s="260">
        <v>14.131470999999999</v>
      </c>
      <c r="BL189" s="260">
        <v>14.16724</v>
      </c>
      <c r="BM189" s="260">
        <v>14.202874999999999</v>
      </c>
      <c r="BN189" s="260">
        <v>14.238375</v>
      </c>
      <c r="BO189" s="260">
        <v>14.27374</v>
      </c>
      <c r="BP189" s="260">
        <v>14.308968999999999</v>
      </c>
      <c r="BQ189" s="260">
        <v>14.344061</v>
      </c>
      <c r="BR189" s="260">
        <v>14.379017999999999</v>
      </c>
      <c r="BS189" s="260">
        <v>14.413836999999999</v>
      </c>
      <c r="BT189" s="260">
        <v>14.448519999999998</v>
      </c>
      <c r="BU189" s="260">
        <v>14.483065999999999</v>
      </c>
      <c r="BV189" s="260">
        <v>14.517474</v>
      </c>
      <c r="BW189" s="260">
        <v>14.551744999999999</v>
      </c>
      <c r="BX189" s="260">
        <v>14.585877</v>
      </c>
      <c r="BY189" s="260">
        <v>14.619871999999999</v>
      </c>
      <c r="BZ189" s="260">
        <v>14.653727999999999</v>
      </c>
      <c r="CA189" s="260">
        <v>14.687444999999999</v>
      </c>
      <c r="CB189" s="260">
        <v>14.721024</v>
      </c>
      <c r="CC189" s="260">
        <v>14.754465</v>
      </c>
      <c r="CD189" s="260">
        <v>14.787766</v>
      </c>
      <c r="CE189" s="260">
        <v>14.820927999999999</v>
      </c>
      <c r="CF189" s="260">
        <v>14.853950999999999</v>
      </c>
      <c r="CG189" s="260">
        <v>14.886835</v>
      </c>
      <c r="CH189" s="260">
        <v>14.91958</v>
      </c>
    </row>
    <row r="190" spans="1:86" x14ac:dyDescent="0.25">
      <c r="A190" s="170">
        <v>2</v>
      </c>
      <c r="B190" s="170">
        <v>79</v>
      </c>
      <c r="C190" s="259">
        <v>11.110891342163086</v>
      </c>
      <c r="D190" s="259">
        <v>11.166849136352539</v>
      </c>
      <c r="E190" s="259">
        <v>11.222480773925781</v>
      </c>
      <c r="F190" s="259">
        <v>11.277786254882813</v>
      </c>
      <c r="G190" s="259">
        <v>11.332761764526367</v>
      </c>
      <c r="H190" s="259">
        <v>11.387410163879395</v>
      </c>
      <c r="I190" s="260">
        <v>11.397081999999999</v>
      </c>
      <c r="J190" s="260">
        <v>11.445895999999999</v>
      </c>
      <c r="K190" s="260">
        <v>11.493262</v>
      </c>
      <c r="L190" s="260">
        <v>11.539306999999999</v>
      </c>
      <c r="M190" s="260">
        <v>11.584175999999999</v>
      </c>
      <c r="N190" s="260">
        <v>11.628019</v>
      </c>
      <c r="O190" s="260">
        <v>11.670988999999999</v>
      </c>
      <c r="P190" s="260">
        <v>11.713236999999999</v>
      </c>
      <c r="Q190" s="260">
        <v>11.754907999999999</v>
      </c>
      <c r="R190" s="260">
        <v>11.796134</v>
      </c>
      <c r="S190" s="260">
        <v>11.837031999999999</v>
      </c>
      <c r="T190" s="260">
        <v>11.877699</v>
      </c>
      <c r="U190" s="260">
        <v>11.918208</v>
      </c>
      <c r="V190" s="260">
        <v>11.958603</v>
      </c>
      <c r="W190" s="260">
        <v>11.998899</v>
      </c>
      <c r="X190" s="260">
        <v>12.039095999999999</v>
      </c>
      <c r="Y190" s="260">
        <v>12.079191</v>
      </c>
      <c r="Z190" s="260">
        <v>12.119185</v>
      </c>
      <c r="AA190" s="260">
        <v>12.159075999999999</v>
      </c>
      <c r="AB190" s="260">
        <v>12.198862999999999</v>
      </c>
      <c r="AC190" s="260">
        <v>12.238543999999999</v>
      </c>
      <c r="AD190" s="260">
        <v>12.278119</v>
      </c>
      <c r="AE190" s="260">
        <v>12.317587</v>
      </c>
      <c r="AF190" s="260">
        <v>12.356947</v>
      </c>
      <c r="AG190" s="260">
        <v>12.396198</v>
      </c>
      <c r="AH190" s="260">
        <v>12.435338</v>
      </c>
      <c r="AI190" s="260">
        <v>12.474368</v>
      </c>
      <c r="AJ190" s="260">
        <v>12.513285</v>
      </c>
      <c r="AK190" s="260">
        <v>12.552088999999999</v>
      </c>
      <c r="AL190" s="260">
        <v>12.590779999999999</v>
      </c>
      <c r="AM190" s="260">
        <v>12.629356</v>
      </c>
      <c r="AN190" s="260">
        <v>12.667816999999999</v>
      </c>
      <c r="AO190" s="260">
        <v>12.706161</v>
      </c>
      <c r="AP190" s="260">
        <v>12.744387999999999</v>
      </c>
      <c r="AQ190" s="260">
        <v>12.782496999999999</v>
      </c>
      <c r="AR190" s="260">
        <v>12.820487999999999</v>
      </c>
      <c r="AS190" s="260">
        <v>12.858359</v>
      </c>
      <c r="AT190" s="260">
        <v>12.896108999999999</v>
      </c>
      <c r="AU190" s="260">
        <v>12.933738999999999</v>
      </c>
      <c r="AV190" s="260">
        <v>12.971247999999999</v>
      </c>
      <c r="AW190" s="260">
        <v>13.008633999999999</v>
      </c>
      <c r="AX190" s="260">
        <v>13.045897</v>
      </c>
      <c r="AY190" s="260">
        <v>13.083036999999999</v>
      </c>
      <c r="AZ190" s="260">
        <v>13.120051999999999</v>
      </c>
      <c r="BA190" s="260">
        <v>13.156943</v>
      </c>
      <c r="BB190" s="260">
        <v>13.193707999999999</v>
      </c>
      <c r="BC190" s="260">
        <v>13.230347</v>
      </c>
      <c r="BD190" s="260">
        <v>13.266859999999999</v>
      </c>
      <c r="BE190" s="260">
        <v>13.303246</v>
      </c>
      <c r="BF190" s="260">
        <v>13.339504</v>
      </c>
      <c r="BG190" s="260">
        <v>13.375634</v>
      </c>
      <c r="BH190" s="260">
        <v>13.411634999999999</v>
      </c>
      <c r="BI190" s="260">
        <v>13.447507</v>
      </c>
      <c r="BJ190" s="260">
        <v>13.48325</v>
      </c>
      <c r="BK190" s="260">
        <v>13.518863</v>
      </c>
      <c r="BL190" s="260">
        <v>13.554345</v>
      </c>
      <c r="BM190" s="260">
        <v>13.589696999999999</v>
      </c>
      <c r="BN190" s="260">
        <v>13.624917</v>
      </c>
      <c r="BO190" s="260">
        <v>13.660005999999999</v>
      </c>
      <c r="BP190" s="260">
        <v>13.694963</v>
      </c>
      <c r="BQ190" s="260">
        <v>13.729787999999999</v>
      </c>
      <c r="BR190" s="260">
        <v>13.764479999999999</v>
      </c>
      <c r="BS190" s="260">
        <v>13.799038999999999</v>
      </c>
      <c r="BT190" s="260">
        <v>13.833464999999999</v>
      </c>
      <c r="BU190" s="260">
        <v>13.867756999999999</v>
      </c>
      <c r="BV190" s="260">
        <v>13.901916</v>
      </c>
      <c r="BW190" s="260">
        <v>13.935939999999999</v>
      </c>
      <c r="BX190" s="260">
        <v>13.969830999999999</v>
      </c>
      <c r="BY190" s="260">
        <v>14.003585999999999</v>
      </c>
      <c r="BZ190" s="260">
        <v>14.037206999999999</v>
      </c>
      <c r="CA190" s="260">
        <v>14.070692999999999</v>
      </c>
      <c r="CB190" s="260">
        <v>14.104044</v>
      </c>
      <c r="CC190" s="260">
        <v>14.137259999999999</v>
      </c>
      <c r="CD190" s="260">
        <v>14.170339999999999</v>
      </c>
      <c r="CE190" s="260">
        <v>14.203284999999999</v>
      </c>
      <c r="CF190" s="260">
        <v>14.236094</v>
      </c>
      <c r="CG190" s="260">
        <v>14.268766999999999</v>
      </c>
      <c r="CH190" s="260">
        <v>14.301304</v>
      </c>
    </row>
    <row r="191" spans="1:86" x14ac:dyDescent="0.25">
      <c r="A191" s="170">
        <v>2</v>
      </c>
      <c r="B191" s="170">
        <v>80</v>
      </c>
      <c r="C191" s="259">
        <v>10.545918464660645</v>
      </c>
      <c r="D191" s="259">
        <v>10.598978042602539</v>
      </c>
      <c r="E191" s="259">
        <v>10.651761054992676</v>
      </c>
      <c r="F191" s="259">
        <v>10.704263687133789</v>
      </c>
      <c r="G191" s="259">
        <v>10.756486892700195</v>
      </c>
      <c r="H191" s="259">
        <v>10.808427810668945</v>
      </c>
      <c r="I191" s="260">
        <v>10.813751</v>
      </c>
      <c r="J191" s="260">
        <v>10.861865999999999</v>
      </c>
      <c r="K191" s="260">
        <v>10.908572999999999</v>
      </c>
      <c r="L191" s="260">
        <v>10.953991</v>
      </c>
      <c r="M191" s="260">
        <v>10.998251</v>
      </c>
      <c r="N191" s="260">
        <v>11.041497</v>
      </c>
      <c r="O191" s="260">
        <v>11.083876</v>
      </c>
      <c r="P191" s="260">
        <v>11.125536</v>
      </c>
      <c r="Q191" s="260">
        <v>11.16662</v>
      </c>
      <c r="R191" s="260">
        <v>11.207258999999999</v>
      </c>
      <c r="S191" s="260">
        <v>11.247570999999999</v>
      </c>
      <c r="T191" s="260">
        <v>11.287652</v>
      </c>
      <c r="U191" s="260">
        <v>11.327577999999999</v>
      </c>
      <c r="V191" s="260">
        <v>11.367395</v>
      </c>
      <c r="W191" s="260">
        <v>11.407119</v>
      </c>
      <c r="X191" s="260">
        <v>11.446747</v>
      </c>
      <c r="Y191" s="260">
        <v>11.486279999999999</v>
      </c>
      <c r="Z191" s="260">
        <v>11.525715</v>
      </c>
      <c r="AA191" s="260">
        <v>11.565052</v>
      </c>
      <c r="AB191" s="260">
        <v>11.604289999999999</v>
      </c>
      <c r="AC191" s="260">
        <v>11.643428</v>
      </c>
      <c r="AD191" s="260">
        <v>11.682464</v>
      </c>
      <c r="AE191" s="260">
        <v>11.721397</v>
      </c>
      <c r="AF191" s="260">
        <v>11.760226999999999</v>
      </c>
      <c r="AG191" s="260">
        <v>11.798952999999999</v>
      </c>
      <c r="AH191" s="260">
        <v>11.837572999999999</v>
      </c>
      <c r="AI191" s="260">
        <v>11.876087</v>
      </c>
      <c r="AJ191" s="260">
        <v>11.914493999999999</v>
      </c>
      <c r="AK191" s="260">
        <v>11.952791999999999</v>
      </c>
      <c r="AL191" s="260">
        <v>11.990981</v>
      </c>
      <c r="AM191" s="260">
        <v>12.029060999999999</v>
      </c>
      <c r="AN191" s="260">
        <v>12.067029</v>
      </c>
      <c r="AO191" s="260">
        <v>12.104885999999999</v>
      </c>
      <c r="AP191" s="260">
        <v>12.142629999999999</v>
      </c>
      <c r="AQ191" s="260">
        <v>12.180261</v>
      </c>
      <c r="AR191" s="260">
        <v>12.217777999999999</v>
      </c>
      <c r="AS191" s="260">
        <v>12.255179999999999</v>
      </c>
      <c r="AT191" s="260">
        <v>12.292465999999999</v>
      </c>
      <c r="AU191" s="260">
        <v>12.329635999999999</v>
      </c>
      <c r="AV191" s="260">
        <v>12.366688999999999</v>
      </c>
      <c r="AW191" s="260">
        <v>12.403625</v>
      </c>
      <c r="AX191" s="260">
        <v>12.440441</v>
      </c>
      <c r="AY191" s="260">
        <v>12.477138999999999</v>
      </c>
      <c r="AZ191" s="260">
        <v>12.513717</v>
      </c>
      <c r="BA191" s="260">
        <v>12.550174999999999</v>
      </c>
      <c r="BB191" s="260">
        <v>12.586511</v>
      </c>
      <c r="BC191" s="260">
        <v>12.622726999999999</v>
      </c>
      <c r="BD191" s="260">
        <v>12.658818999999999</v>
      </c>
      <c r="BE191" s="260">
        <v>12.694789999999999</v>
      </c>
      <c r="BF191" s="260">
        <v>12.730637</v>
      </c>
      <c r="BG191" s="260">
        <v>12.766359999999999</v>
      </c>
      <c r="BH191" s="260">
        <v>12.801959</v>
      </c>
      <c r="BI191" s="260">
        <v>12.837432999999999</v>
      </c>
      <c r="BJ191" s="260">
        <v>12.872781999999999</v>
      </c>
      <c r="BK191" s="260">
        <v>12.908005999999999</v>
      </c>
      <c r="BL191" s="260">
        <v>12.943102999999999</v>
      </c>
      <c r="BM191" s="260">
        <v>12.978073</v>
      </c>
      <c r="BN191" s="260">
        <v>13.012917</v>
      </c>
      <c r="BO191" s="260">
        <v>13.047632999999999</v>
      </c>
      <c r="BP191" s="260">
        <v>13.082222</v>
      </c>
      <c r="BQ191" s="260">
        <v>13.116681999999999</v>
      </c>
      <c r="BR191" s="260">
        <v>13.151014</v>
      </c>
      <c r="BS191" s="260">
        <v>13.185217</v>
      </c>
      <c r="BT191" s="260">
        <v>13.219291</v>
      </c>
      <c r="BU191" s="260">
        <v>13.253235</v>
      </c>
      <c r="BV191" s="260">
        <v>13.287049999999999</v>
      </c>
      <c r="BW191" s="260">
        <v>13.320734</v>
      </c>
      <c r="BX191" s="260">
        <v>13.354289</v>
      </c>
      <c r="BY191" s="260">
        <v>13.387713</v>
      </c>
      <c r="BZ191" s="260">
        <v>13.421006</v>
      </c>
      <c r="CA191" s="260">
        <v>13.454167999999999</v>
      </c>
      <c r="CB191" s="260">
        <v>13.487198999999999</v>
      </c>
      <c r="CC191" s="260">
        <v>13.520097999999999</v>
      </c>
      <c r="CD191" s="260">
        <v>13.552866</v>
      </c>
      <c r="CE191" s="260">
        <v>13.585502999999999</v>
      </c>
      <c r="CF191" s="260">
        <v>13.618006999999999</v>
      </c>
      <c r="CG191" s="260">
        <v>13.650378999999999</v>
      </c>
      <c r="CH191" s="260">
        <v>13.682618999999999</v>
      </c>
    </row>
    <row r="192" spans="1:86" x14ac:dyDescent="0.25">
      <c r="A192" s="170">
        <v>2</v>
      </c>
      <c r="B192" s="170">
        <v>81</v>
      </c>
      <c r="C192" s="259">
        <v>10.005345344543457</v>
      </c>
      <c r="D192" s="259">
        <v>10.056197166442871</v>
      </c>
      <c r="E192" s="259">
        <v>10.106793403625488</v>
      </c>
      <c r="F192" s="259">
        <v>10.157131195068359</v>
      </c>
      <c r="G192" s="259">
        <v>10.207210540771484</v>
      </c>
      <c r="H192" s="259">
        <v>10.25702953338623</v>
      </c>
      <c r="I192" s="260">
        <v>10.239594</v>
      </c>
      <c r="J192" s="260">
        <v>10.286814999999999</v>
      </c>
      <c r="K192" s="260">
        <v>10.332680999999999</v>
      </c>
      <c r="L192" s="260">
        <v>10.377302</v>
      </c>
      <c r="M192" s="260">
        <v>10.420798</v>
      </c>
      <c r="N192" s="260">
        <v>10.463301999999999</v>
      </c>
      <c r="O192" s="260">
        <v>10.504956</v>
      </c>
      <c r="P192" s="260">
        <v>10.5459</v>
      </c>
      <c r="Q192" s="260">
        <v>10.586274</v>
      </c>
      <c r="R192" s="260">
        <v>10.626206999999999</v>
      </c>
      <c r="S192" s="260">
        <v>10.665815</v>
      </c>
      <c r="T192" s="260">
        <v>10.705197</v>
      </c>
      <c r="U192" s="260">
        <v>10.744427999999999</v>
      </c>
      <c r="V192" s="260">
        <v>10.783552999999999</v>
      </c>
      <c r="W192" s="260">
        <v>10.82259</v>
      </c>
      <c r="X192" s="260">
        <v>10.861537</v>
      </c>
      <c r="Y192" s="260">
        <v>10.900392999999999</v>
      </c>
      <c r="Z192" s="260">
        <v>10.939155999999999</v>
      </c>
      <c r="AA192" s="260">
        <v>10.977826</v>
      </c>
      <c r="AB192" s="260">
        <v>11.016401999999999</v>
      </c>
      <c r="AC192" s="260">
        <v>11.054881999999999</v>
      </c>
      <c r="AD192" s="260">
        <v>11.093266</v>
      </c>
      <c r="AE192" s="260">
        <v>11.131551999999999</v>
      </c>
      <c r="AF192" s="260">
        <v>11.169739999999999</v>
      </c>
      <c r="AG192" s="260">
        <v>11.207827999999999</v>
      </c>
      <c r="AH192" s="260">
        <v>11.245815</v>
      </c>
      <c r="AI192" s="260">
        <v>11.283700999999999</v>
      </c>
      <c r="AJ192" s="260">
        <v>11.321484999999999</v>
      </c>
      <c r="AK192" s="260">
        <v>11.359164999999999</v>
      </c>
      <c r="AL192" s="260">
        <v>11.396740999999999</v>
      </c>
      <c r="AM192" s="260">
        <v>11.434211999999999</v>
      </c>
      <c r="AN192" s="260">
        <v>11.471577</v>
      </c>
      <c r="AO192" s="260">
        <v>11.508834999999999</v>
      </c>
      <c r="AP192" s="260">
        <v>11.545985</v>
      </c>
      <c r="AQ192" s="260">
        <v>11.583027</v>
      </c>
      <c r="AR192" s="260">
        <v>11.619959</v>
      </c>
      <c r="AS192" s="260">
        <v>11.656782</v>
      </c>
      <c r="AT192" s="260">
        <v>11.693493999999999</v>
      </c>
      <c r="AU192" s="260">
        <v>11.730093999999999</v>
      </c>
      <c r="AV192" s="260">
        <v>11.766580999999999</v>
      </c>
      <c r="AW192" s="260">
        <v>11.802956</v>
      </c>
      <c r="AX192" s="260">
        <v>11.839217</v>
      </c>
      <c r="AY192" s="260">
        <v>11.875363999999999</v>
      </c>
      <c r="AZ192" s="260">
        <v>11.911396</v>
      </c>
      <c r="BA192" s="260">
        <v>11.947312</v>
      </c>
      <c r="BB192" s="260">
        <v>11.983112</v>
      </c>
      <c r="BC192" s="260">
        <v>12.018794999999999</v>
      </c>
      <c r="BD192" s="260">
        <v>12.054361</v>
      </c>
      <c r="BE192" s="260">
        <v>12.089808</v>
      </c>
      <c r="BF192" s="260">
        <v>12.125136999999999</v>
      </c>
      <c r="BG192" s="260">
        <v>12.160347</v>
      </c>
      <c r="BH192" s="260">
        <v>12.195437999999999</v>
      </c>
      <c r="BI192" s="260">
        <v>12.230407999999999</v>
      </c>
      <c r="BJ192" s="260">
        <v>12.265257</v>
      </c>
      <c r="BK192" s="260">
        <v>12.299985999999999</v>
      </c>
      <c r="BL192" s="260">
        <v>12.334593</v>
      </c>
      <c r="BM192" s="260">
        <v>12.369076999999999</v>
      </c>
      <c r="BN192" s="260">
        <v>12.40344</v>
      </c>
      <c r="BO192" s="260">
        <v>12.43768</v>
      </c>
      <c r="BP192" s="260">
        <v>12.471795999999999</v>
      </c>
      <c r="BQ192" s="260">
        <v>12.505789</v>
      </c>
      <c r="BR192" s="260">
        <v>12.539657</v>
      </c>
      <c r="BS192" s="260">
        <v>12.573402</v>
      </c>
      <c r="BT192" s="260">
        <v>12.607021999999999</v>
      </c>
      <c r="BU192" s="260">
        <v>12.640516</v>
      </c>
      <c r="BV192" s="260">
        <v>12.673886</v>
      </c>
      <c r="BW192" s="260">
        <v>12.707129999999999</v>
      </c>
      <c r="BX192" s="260">
        <v>12.740247999999999</v>
      </c>
      <c r="BY192" s="260">
        <v>12.773239999999999</v>
      </c>
      <c r="BZ192" s="260">
        <v>12.806104999999999</v>
      </c>
      <c r="CA192" s="260">
        <v>12.838844</v>
      </c>
      <c r="CB192" s="260">
        <v>12.871456</v>
      </c>
      <c r="CC192" s="260">
        <v>12.903941</v>
      </c>
      <c r="CD192" s="260">
        <v>12.936297999999999</v>
      </c>
      <c r="CE192" s="260">
        <v>12.968527999999999</v>
      </c>
      <c r="CF192" s="260">
        <v>13.000631</v>
      </c>
      <c r="CG192" s="260">
        <v>13.032605999999999</v>
      </c>
      <c r="CH192" s="260">
        <v>13.064451999999999</v>
      </c>
    </row>
    <row r="193" spans="1:86" x14ac:dyDescent="0.25">
      <c r="A193" s="170">
        <v>2</v>
      </c>
      <c r="B193" s="170">
        <v>82</v>
      </c>
      <c r="C193" s="259">
        <v>9.4823522567749023</v>
      </c>
      <c r="D193" s="259">
        <v>9.5306339263916016</v>
      </c>
      <c r="E193" s="259">
        <v>9.5786828994750977</v>
      </c>
      <c r="F193" s="259">
        <v>9.626500129699707</v>
      </c>
      <c r="G193" s="259">
        <v>9.6740818023681641</v>
      </c>
      <c r="H193" s="259">
        <v>9.7214288711547852</v>
      </c>
      <c r="I193" s="260">
        <v>9.6765720000000002</v>
      </c>
      <c r="J193" s="260">
        <v>9.7226999999999997</v>
      </c>
      <c r="K193" s="260">
        <v>9.7675400000000003</v>
      </c>
      <c r="L193" s="260">
        <v>9.8111870000000003</v>
      </c>
      <c r="M193" s="260">
        <v>9.8537549999999996</v>
      </c>
      <c r="N193" s="260">
        <v>9.895365</v>
      </c>
      <c r="O193" s="260">
        <v>9.9361490000000003</v>
      </c>
      <c r="P193" s="260">
        <v>9.9762409999999999</v>
      </c>
      <c r="Q193" s="260">
        <v>10.015772999999999</v>
      </c>
      <c r="R193" s="260">
        <v>10.054872999999999</v>
      </c>
      <c r="S193" s="260">
        <v>10.093653</v>
      </c>
      <c r="T193" s="260">
        <v>10.132211999999999</v>
      </c>
      <c r="U193" s="260">
        <v>10.170624</v>
      </c>
      <c r="V193" s="260">
        <v>10.208935</v>
      </c>
      <c r="W193" s="260">
        <v>10.247162999999999</v>
      </c>
      <c r="X193" s="260">
        <v>10.285304999999999</v>
      </c>
      <c r="Y193" s="260">
        <v>10.323361999999999</v>
      </c>
      <c r="Z193" s="260">
        <v>10.361331</v>
      </c>
      <c r="AA193" s="260">
        <v>10.399210999999999</v>
      </c>
      <c r="AB193" s="260">
        <v>10.437002999999999</v>
      </c>
      <c r="AC193" s="260">
        <v>10.474703</v>
      </c>
      <c r="AD193" s="260">
        <v>10.512312999999999</v>
      </c>
      <c r="AE193" s="260">
        <v>10.549828999999999</v>
      </c>
      <c r="AF193" s="260">
        <v>10.587251999999999</v>
      </c>
      <c r="AG193" s="260">
        <v>10.62458</v>
      </c>
      <c r="AH193" s="260">
        <v>10.661812999999999</v>
      </c>
      <c r="AI193" s="260">
        <v>10.69895</v>
      </c>
      <c r="AJ193" s="260">
        <v>10.735987999999999</v>
      </c>
      <c r="AK193" s="260">
        <v>10.772929</v>
      </c>
      <c r="AL193" s="260">
        <v>10.80977</v>
      </c>
      <c r="AM193" s="260">
        <v>10.846511</v>
      </c>
      <c r="AN193" s="260">
        <v>10.883151</v>
      </c>
      <c r="AO193" s="260">
        <v>10.919689999999999</v>
      </c>
      <c r="AP193" s="260">
        <v>10.956125</v>
      </c>
      <c r="AQ193" s="260">
        <v>10.992457</v>
      </c>
      <c r="AR193" s="260">
        <v>11.028684999999999</v>
      </c>
      <c r="AS193" s="260">
        <v>11.064807999999999</v>
      </c>
      <c r="AT193" s="260">
        <v>11.100824999999999</v>
      </c>
      <c r="AU193" s="260">
        <v>11.136735999999999</v>
      </c>
      <c r="AV193" s="260">
        <v>11.172538999999999</v>
      </c>
      <c r="AW193" s="260">
        <v>11.208233999999999</v>
      </c>
      <c r="AX193" s="260">
        <v>11.243820999999999</v>
      </c>
      <c r="AY193" s="260">
        <v>11.279297999999999</v>
      </c>
      <c r="AZ193" s="260">
        <v>11.314665</v>
      </c>
      <c r="BA193" s="260">
        <v>11.349921999999999</v>
      </c>
      <c r="BB193" s="260">
        <v>11.385066999999999</v>
      </c>
      <c r="BC193" s="260">
        <v>11.4201</v>
      </c>
      <c r="BD193" s="260">
        <v>11.455021</v>
      </c>
      <c r="BE193" s="260">
        <v>11.489829</v>
      </c>
      <c r="BF193" s="260">
        <v>11.524523</v>
      </c>
      <c r="BG193" s="260">
        <v>11.559104</v>
      </c>
      <c r="BH193" s="260">
        <v>11.593568999999999</v>
      </c>
      <c r="BI193" s="260">
        <v>11.627919</v>
      </c>
      <c r="BJ193" s="260">
        <v>11.662153999999999</v>
      </c>
      <c r="BK193" s="260">
        <v>11.696273</v>
      </c>
      <c r="BL193" s="260">
        <v>11.730274999999999</v>
      </c>
      <c r="BM193" s="260">
        <v>11.764158999999999</v>
      </c>
      <c r="BN193" s="260">
        <v>11.797927</v>
      </c>
      <c r="BO193" s="260">
        <v>11.831576</v>
      </c>
      <c r="BP193" s="260">
        <v>11.865107</v>
      </c>
      <c r="BQ193" s="260">
        <v>11.898519</v>
      </c>
      <c r="BR193" s="260">
        <v>11.931813</v>
      </c>
      <c r="BS193" s="260">
        <v>11.964986</v>
      </c>
      <c r="BT193" s="260">
        <v>11.99804</v>
      </c>
      <c r="BU193" s="260">
        <v>12.030973999999999</v>
      </c>
      <c r="BV193" s="260">
        <v>12.063787</v>
      </c>
      <c r="BW193" s="260">
        <v>12.09648</v>
      </c>
      <c r="BX193" s="260">
        <v>12.129050999999999</v>
      </c>
      <c r="BY193" s="260">
        <v>12.161500999999999</v>
      </c>
      <c r="BZ193" s="260">
        <v>12.19383</v>
      </c>
      <c r="CA193" s="260">
        <v>12.226035999999999</v>
      </c>
      <c r="CB193" s="260">
        <v>12.258120999999999</v>
      </c>
      <c r="CC193" s="260">
        <v>12.290082999999999</v>
      </c>
      <c r="CD193" s="260">
        <v>12.321923</v>
      </c>
      <c r="CE193" s="260">
        <v>12.353638999999999</v>
      </c>
      <c r="CF193" s="260">
        <v>12.385232999999999</v>
      </c>
      <c r="CG193" s="260">
        <v>12.416703999999999</v>
      </c>
      <c r="CH193" s="260">
        <v>12.448051999999999</v>
      </c>
    </row>
    <row r="194" spans="1:86" x14ac:dyDescent="0.25">
      <c r="A194" s="170">
        <v>2</v>
      </c>
      <c r="B194" s="170">
        <v>83</v>
      </c>
      <c r="C194" s="259">
        <v>8.9772882461547852</v>
      </c>
      <c r="D194" s="259">
        <v>9.0226125717163086</v>
      </c>
      <c r="E194" s="259">
        <v>9.0677337646484375</v>
      </c>
      <c r="F194" s="259">
        <v>9.1126489639282227</v>
      </c>
      <c r="G194" s="259">
        <v>9.1573591232299805</v>
      </c>
      <c r="H194" s="259">
        <v>9.2018613815307617</v>
      </c>
      <c r="I194" s="260">
        <v>9.1270989999999994</v>
      </c>
      <c r="J194" s="260">
        <v>9.171932</v>
      </c>
      <c r="K194" s="260">
        <v>9.2155500000000004</v>
      </c>
      <c r="L194" s="260">
        <v>9.2580410000000004</v>
      </c>
      <c r="M194" s="260">
        <v>9.2995049999999999</v>
      </c>
      <c r="N194" s="260">
        <v>9.3400559999999988</v>
      </c>
      <c r="O194" s="260">
        <v>9.3798149999999989</v>
      </c>
      <c r="P194" s="260">
        <v>9.4189049999999988</v>
      </c>
      <c r="Q194" s="260">
        <v>9.4574529999999992</v>
      </c>
      <c r="R194" s="260">
        <v>9.4955800000000004</v>
      </c>
      <c r="S194" s="260">
        <v>9.5333959999999998</v>
      </c>
      <c r="T194" s="260">
        <v>9.5709959999999992</v>
      </c>
      <c r="U194" s="260">
        <v>9.6084540000000001</v>
      </c>
      <c r="V194" s="260">
        <v>9.6458169999999992</v>
      </c>
      <c r="W194" s="260">
        <v>9.6831009999999988</v>
      </c>
      <c r="X194" s="260">
        <v>9.7203049999999998</v>
      </c>
      <c r="Y194" s="260">
        <v>9.7574279999999991</v>
      </c>
      <c r="Z194" s="260">
        <v>9.7944680000000002</v>
      </c>
      <c r="AA194" s="260">
        <v>9.8314249999999994</v>
      </c>
      <c r="AB194" s="260">
        <v>9.8682970000000001</v>
      </c>
      <c r="AC194" s="260">
        <v>9.9050839999999987</v>
      </c>
      <c r="AD194" s="260">
        <v>9.9417840000000002</v>
      </c>
      <c r="AE194" s="260">
        <v>9.9783969999999993</v>
      </c>
      <c r="AF194" s="260">
        <v>10.014920999999999</v>
      </c>
      <c r="AG194" s="260">
        <v>10.051354999999999</v>
      </c>
      <c r="AH194" s="260">
        <v>10.087698999999999</v>
      </c>
      <c r="AI194" s="260">
        <v>10.123951999999999</v>
      </c>
      <c r="AJ194" s="260">
        <v>10.160112</v>
      </c>
      <c r="AK194" s="260">
        <v>10.196178999999999</v>
      </c>
      <c r="AL194" s="260">
        <v>10.232151999999999</v>
      </c>
      <c r="AM194" s="260">
        <v>10.26803</v>
      </c>
      <c r="AN194" s="260">
        <v>10.303813</v>
      </c>
      <c r="AO194" s="260">
        <v>10.339497999999999</v>
      </c>
      <c r="AP194" s="260">
        <v>10.375086</v>
      </c>
      <c r="AQ194" s="260">
        <v>10.410575999999999</v>
      </c>
      <c r="AR194" s="260">
        <v>10.445966</v>
      </c>
      <c r="AS194" s="260">
        <v>10.481256999999999</v>
      </c>
      <c r="AT194" s="260">
        <v>10.516447999999999</v>
      </c>
      <c r="AU194" s="260">
        <v>10.551537</v>
      </c>
      <c r="AV194" s="260">
        <v>10.586523999999999</v>
      </c>
      <c r="AW194" s="260">
        <v>10.621407999999999</v>
      </c>
      <c r="AX194" s="260">
        <v>10.656188999999999</v>
      </c>
      <c r="AY194" s="260">
        <v>10.690864999999999</v>
      </c>
      <c r="AZ194" s="260">
        <v>10.725436999999999</v>
      </c>
      <c r="BA194" s="260">
        <v>10.759903999999999</v>
      </c>
      <c r="BB194" s="260">
        <v>10.794264999999999</v>
      </c>
      <c r="BC194" s="260">
        <v>10.828519</v>
      </c>
      <c r="BD194" s="260">
        <v>10.862665999999999</v>
      </c>
      <c r="BE194" s="260">
        <v>10.896704999999999</v>
      </c>
      <c r="BF194" s="260">
        <v>10.930636</v>
      </c>
      <c r="BG194" s="260">
        <v>10.964457999999999</v>
      </c>
      <c r="BH194" s="260">
        <v>10.99817</v>
      </c>
      <c r="BI194" s="260">
        <v>11.031772999999999</v>
      </c>
      <c r="BJ194" s="260">
        <v>11.065265</v>
      </c>
      <c r="BK194" s="260">
        <v>11.098647</v>
      </c>
      <c r="BL194" s="260">
        <v>11.131917</v>
      </c>
      <c r="BM194" s="260">
        <v>11.165075</v>
      </c>
      <c r="BN194" s="260">
        <v>11.198122</v>
      </c>
      <c r="BO194" s="260">
        <v>11.231055</v>
      </c>
      <c r="BP194" s="260">
        <v>11.263876</v>
      </c>
      <c r="BQ194" s="260">
        <v>11.296583</v>
      </c>
      <c r="BR194" s="260">
        <v>11.329176</v>
      </c>
      <c r="BS194" s="260">
        <v>11.361654999999999</v>
      </c>
      <c r="BT194" s="260">
        <v>11.394019</v>
      </c>
      <c r="BU194" s="260">
        <v>11.426269</v>
      </c>
      <c r="BV194" s="260">
        <v>11.458402999999999</v>
      </c>
      <c r="BW194" s="260">
        <v>11.490421999999999</v>
      </c>
      <c r="BX194" s="260">
        <v>11.522324999999999</v>
      </c>
      <c r="BY194" s="260">
        <v>11.554112</v>
      </c>
      <c r="BZ194" s="260">
        <v>11.585782999999999</v>
      </c>
      <c r="CA194" s="260">
        <v>11.617336999999999</v>
      </c>
      <c r="CB194" s="260">
        <v>11.648774</v>
      </c>
      <c r="CC194" s="260">
        <v>11.680092999999999</v>
      </c>
      <c r="CD194" s="260">
        <v>11.711295999999999</v>
      </c>
      <c r="CE194" s="260">
        <v>11.742381</v>
      </c>
      <c r="CF194" s="260">
        <v>11.773347999999999</v>
      </c>
      <c r="CG194" s="260">
        <v>11.804197</v>
      </c>
      <c r="CH194" s="260">
        <v>11.834928</v>
      </c>
    </row>
    <row r="195" spans="1:86" x14ac:dyDescent="0.25">
      <c r="A195" s="170">
        <v>2</v>
      </c>
      <c r="B195" s="170">
        <v>84</v>
      </c>
      <c r="C195" s="259">
        <v>8.4894962310791016</v>
      </c>
      <c r="D195" s="259">
        <v>8.5314559936523438</v>
      </c>
      <c r="E195" s="259">
        <v>8.5732440948486328</v>
      </c>
      <c r="F195" s="259">
        <v>8.6148605346679688</v>
      </c>
      <c r="G195" s="259">
        <v>8.6563043594360352</v>
      </c>
      <c r="H195" s="259">
        <v>8.6975717544555664</v>
      </c>
      <c r="I195" s="260">
        <v>8.5936839999999997</v>
      </c>
      <c r="J195" s="260">
        <v>8.6370149999999999</v>
      </c>
      <c r="K195" s="260">
        <v>8.6792119999999997</v>
      </c>
      <c r="L195" s="260">
        <v>8.7203540000000004</v>
      </c>
      <c r="M195" s="260">
        <v>8.7605310000000003</v>
      </c>
      <c r="N195" s="260">
        <v>8.7998449999999995</v>
      </c>
      <c r="O195" s="260">
        <v>8.8384090000000004</v>
      </c>
      <c r="P195" s="260">
        <v>8.8763360000000002</v>
      </c>
      <c r="Q195" s="260">
        <v>8.9137430000000002</v>
      </c>
      <c r="R195" s="260">
        <v>8.9507449999999995</v>
      </c>
      <c r="S195" s="260">
        <v>8.9874469999999995</v>
      </c>
      <c r="T195" s="260">
        <v>9.0239409999999989</v>
      </c>
      <c r="U195" s="260">
        <v>9.0602979999999995</v>
      </c>
      <c r="V195" s="260">
        <v>9.096565</v>
      </c>
      <c r="W195" s="260">
        <v>9.132757999999999</v>
      </c>
      <c r="X195" s="260">
        <v>9.1688759999999991</v>
      </c>
      <c r="Y195" s="260">
        <v>9.204917</v>
      </c>
      <c r="Z195" s="260">
        <v>9.2408809999999999</v>
      </c>
      <c r="AA195" s="260">
        <v>9.2767660000000003</v>
      </c>
      <c r="AB195" s="260">
        <v>9.3125719999999994</v>
      </c>
      <c r="AC195" s="260">
        <v>9.3482969999999987</v>
      </c>
      <c r="AD195" s="260">
        <v>9.3839410000000001</v>
      </c>
      <c r="AE195" s="260">
        <v>9.4195019999999996</v>
      </c>
      <c r="AF195" s="260">
        <v>9.4549799999999991</v>
      </c>
      <c r="AG195" s="260">
        <v>9.4903739999999992</v>
      </c>
      <c r="AH195" s="260">
        <v>9.5256819999999998</v>
      </c>
      <c r="AI195" s="260">
        <v>9.560903999999999</v>
      </c>
      <c r="AJ195" s="260">
        <v>9.5960389999999993</v>
      </c>
      <c r="AK195" s="260">
        <v>9.6310859999999998</v>
      </c>
      <c r="AL195" s="260">
        <v>9.6660439999999994</v>
      </c>
      <c r="AM195" s="260">
        <v>9.7009119999999989</v>
      </c>
      <c r="AN195" s="260">
        <v>9.73569</v>
      </c>
      <c r="AO195" s="260">
        <v>9.7703769999999999</v>
      </c>
      <c r="AP195" s="260">
        <v>9.8049710000000001</v>
      </c>
      <c r="AQ195" s="260">
        <v>9.8394729999999999</v>
      </c>
      <c r="AR195" s="260">
        <v>9.873880999999999</v>
      </c>
      <c r="AS195" s="260">
        <v>9.9081939999999999</v>
      </c>
      <c r="AT195" s="260">
        <v>9.9424130000000002</v>
      </c>
      <c r="AU195" s="260">
        <v>9.9765350000000002</v>
      </c>
      <c r="AV195" s="260">
        <v>10.010560999999999</v>
      </c>
      <c r="AW195" s="260">
        <v>10.04449</v>
      </c>
      <c r="AX195" s="260">
        <v>10.078320999999999</v>
      </c>
      <c r="AY195" s="260">
        <v>10.112053999999999</v>
      </c>
      <c r="AZ195" s="260">
        <v>10.145686999999999</v>
      </c>
      <c r="BA195" s="260">
        <v>10.179219999999999</v>
      </c>
      <c r="BB195" s="260">
        <v>10.212653</v>
      </c>
      <c r="BC195" s="260">
        <v>10.245986</v>
      </c>
      <c r="BD195" s="260">
        <v>10.279216</v>
      </c>
      <c r="BE195" s="260">
        <v>10.312344999999999</v>
      </c>
      <c r="BF195" s="260">
        <v>10.345369999999999</v>
      </c>
      <c r="BG195" s="260">
        <v>10.378292999999999</v>
      </c>
      <c r="BH195" s="260">
        <v>10.411111999999999</v>
      </c>
      <c r="BI195" s="260">
        <v>10.443826999999999</v>
      </c>
      <c r="BJ195" s="260">
        <v>10.476436</v>
      </c>
      <c r="BK195" s="260">
        <v>10.508941</v>
      </c>
      <c r="BL195" s="260">
        <v>10.54134</v>
      </c>
      <c r="BM195" s="260">
        <v>10.573632999999999</v>
      </c>
      <c r="BN195" s="260">
        <v>10.60582</v>
      </c>
      <c r="BO195" s="260">
        <v>10.6379</v>
      </c>
      <c r="BP195" s="260">
        <v>10.669872</v>
      </c>
      <c r="BQ195" s="260">
        <v>10.701736</v>
      </c>
      <c r="BR195" s="260">
        <v>10.733492999999999</v>
      </c>
      <c r="BS195" s="260">
        <v>10.765141</v>
      </c>
      <c r="BT195" s="260">
        <v>10.79668</v>
      </c>
      <c r="BU195" s="260">
        <v>10.828109999999999</v>
      </c>
      <c r="BV195" s="260">
        <v>10.85943</v>
      </c>
      <c r="BW195" s="260">
        <v>10.890640999999999</v>
      </c>
      <c r="BX195" s="260">
        <v>10.921740999999999</v>
      </c>
      <c r="BY195" s="260">
        <v>10.952731</v>
      </c>
      <c r="BZ195" s="260">
        <v>10.983611</v>
      </c>
      <c r="CA195" s="260">
        <v>11.014379</v>
      </c>
      <c r="CB195" s="260">
        <v>11.045036999999999</v>
      </c>
      <c r="CC195" s="260">
        <v>11.075583</v>
      </c>
      <c r="CD195" s="260">
        <v>11.106017</v>
      </c>
      <c r="CE195" s="260">
        <v>11.136339</v>
      </c>
      <c r="CF195" s="260">
        <v>11.166549</v>
      </c>
      <c r="CG195" s="260">
        <v>11.196646999999999</v>
      </c>
      <c r="CH195" s="260">
        <v>11.226633</v>
      </c>
    </row>
    <row r="196" spans="1:86" x14ac:dyDescent="0.25">
      <c r="A196" s="170">
        <v>2</v>
      </c>
      <c r="B196" s="170">
        <v>85</v>
      </c>
      <c r="C196" s="259">
        <v>8.0175418853759766</v>
      </c>
      <c r="D196" s="259">
        <v>8.0557060241699219</v>
      </c>
      <c r="E196" s="259">
        <v>8.0937376022338867</v>
      </c>
      <c r="F196" s="259">
        <v>8.1316366195678711</v>
      </c>
      <c r="G196" s="259">
        <v>8.169403076171875</v>
      </c>
      <c r="H196" s="259">
        <v>8.2070331573486328</v>
      </c>
      <c r="I196" s="260">
        <v>8.0785350000000005</v>
      </c>
      <c r="J196" s="260">
        <v>8.120156999999999</v>
      </c>
      <c r="K196" s="260">
        <v>8.1607319999999994</v>
      </c>
      <c r="L196" s="260">
        <v>8.2003269999999997</v>
      </c>
      <c r="M196" s="260">
        <v>8.2390229999999995</v>
      </c>
      <c r="N196" s="260">
        <v>8.2769149999999989</v>
      </c>
      <c r="O196" s="260">
        <v>8.3141009999999991</v>
      </c>
      <c r="P196" s="260">
        <v>8.3506900000000002</v>
      </c>
      <c r="Q196" s="260">
        <v>8.386787</v>
      </c>
      <c r="R196" s="260">
        <v>8.4224990000000002</v>
      </c>
      <c r="S196" s="260">
        <v>8.4579249999999995</v>
      </c>
      <c r="T196" s="260">
        <v>8.4931509999999992</v>
      </c>
      <c r="U196" s="260">
        <v>8.5282479999999996</v>
      </c>
      <c r="V196" s="260">
        <v>8.5632590000000004</v>
      </c>
      <c r="W196" s="260">
        <v>8.5982009999999995</v>
      </c>
      <c r="X196" s="260">
        <v>8.6330720000000003</v>
      </c>
      <c r="Y196" s="260">
        <v>8.6678719999999991</v>
      </c>
      <c r="Z196" s="260">
        <v>8.7026000000000003</v>
      </c>
      <c r="AA196" s="260">
        <v>8.737252999999999</v>
      </c>
      <c r="AB196" s="260">
        <v>8.7718329999999991</v>
      </c>
      <c r="AC196" s="260">
        <v>8.8063369999999992</v>
      </c>
      <c r="AD196" s="260">
        <v>8.8407640000000001</v>
      </c>
      <c r="AE196" s="260">
        <v>8.8751139999999999</v>
      </c>
      <c r="AF196" s="260">
        <v>8.9093859999999996</v>
      </c>
      <c r="AG196" s="260">
        <v>8.9435789999999997</v>
      </c>
      <c r="AH196" s="260">
        <v>8.9776919999999993</v>
      </c>
      <c r="AI196" s="260">
        <v>9.0117239999999992</v>
      </c>
      <c r="AJ196" s="260">
        <v>9.045674</v>
      </c>
      <c r="AK196" s="260">
        <v>9.079540999999999</v>
      </c>
      <c r="AL196" s="260">
        <v>9.1133249999999997</v>
      </c>
      <c r="AM196" s="260">
        <v>9.1470249999999993</v>
      </c>
      <c r="AN196" s="260">
        <v>9.1806400000000004</v>
      </c>
      <c r="AO196" s="260">
        <v>9.2141699999999993</v>
      </c>
      <c r="AP196" s="260">
        <v>9.2476120000000002</v>
      </c>
      <c r="AQ196" s="260">
        <v>9.2809679999999997</v>
      </c>
      <c r="AR196" s="260">
        <v>9.314235</v>
      </c>
      <c r="AS196" s="260">
        <v>9.3474139999999988</v>
      </c>
      <c r="AT196" s="260">
        <v>9.3805029999999991</v>
      </c>
      <c r="AU196" s="260">
        <v>9.4135030000000004</v>
      </c>
      <c r="AV196" s="260">
        <v>9.4464109999999994</v>
      </c>
      <c r="AW196" s="260">
        <v>9.4792279999999991</v>
      </c>
      <c r="AX196" s="260">
        <v>9.5119530000000001</v>
      </c>
      <c r="AY196" s="260">
        <v>9.5445859999999989</v>
      </c>
      <c r="AZ196" s="260">
        <v>9.5771249999999988</v>
      </c>
      <c r="BA196" s="260">
        <v>9.6095699999999997</v>
      </c>
      <c r="BB196" s="260">
        <v>9.641921</v>
      </c>
      <c r="BC196" s="260">
        <v>9.6741770000000002</v>
      </c>
      <c r="BD196" s="260">
        <v>9.7063369999999995</v>
      </c>
      <c r="BE196" s="260">
        <v>9.7384009999999996</v>
      </c>
      <c r="BF196" s="260">
        <v>9.7703679999999995</v>
      </c>
      <c r="BG196" s="260">
        <v>9.8022379999999991</v>
      </c>
      <c r="BH196" s="260">
        <v>9.8340110000000003</v>
      </c>
      <c r="BI196" s="260">
        <v>9.8656849999999991</v>
      </c>
      <c r="BJ196" s="260">
        <v>9.8972610000000003</v>
      </c>
      <c r="BK196" s="260">
        <v>9.9287379999999992</v>
      </c>
      <c r="BL196" s="260">
        <v>9.9601150000000001</v>
      </c>
      <c r="BM196" s="260">
        <v>9.9913930000000004</v>
      </c>
      <c r="BN196" s="260">
        <v>10.02257</v>
      </c>
      <c r="BO196" s="260">
        <v>10.053645999999999</v>
      </c>
      <c r="BP196" s="260">
        <v>10.084621</v>
      </c>
      <c r="BQ196" s="260">
        <v>10.115494</v>
      </c>
      <c r="BR196" s="260">
        <v>10.146265999999999</v>
      </c>
      <c r="BS196" s="260">
        <v>10.176935</v>
      </c>
      <c r="BT196" s="260">
        <v>10.207500999999999</v>
      </c>
      <c r="BU196" s="260">
        <v>10.237964999999999</v>
      </c>
      <c r="BV196" s="260">
        <v>10.268324999999999</v>
      </c>
      <c r="BW196" s="260">
        <v>10.298582</v>
      </c>
      <c r="BX196" s="260">
        <v>10.328735</v>
      </c>
      <c r="BY196" s="260">
        <v>10.358784</v>
      </c>
      <c r="BZ196" s="260">
        <v>10.388728</v>
      </c>
      <c r="CA196" s="260">
        <v>10.418567999999999</v>
      </c>
      <c r="CB196" s="260">
        <v>10.448302</v>
      </c>
      <c r="CC196" s="260">
        <v>10.477931999999999</v>
      </c>
      <c r="CD196" s="260">
        <v>10.507455999999999</v>
      </c>
      <c r="CE196" s="260">
        <v>10.536873999999999</v>
      </c>
      <c r="CF196" s="260">
        <v>10.566186999999999</v>
      </c>
      <c r="CG196" s="260">
        <v>10.595393999999999</v>
      </c>
      <c r="CH196" s="260">
        <v>10.624494</v>
      </c>
    </row>
    <row r="197" spans="1:86" x14ac:dyDescent="0.25">
      <c r="A197" s="170">
        <v>2</v>
      </c>
      <c r="B197" s="170">
        <v>86</v>
      </c>
      <c r="C197" s="259">
        <v>7.5709519386291504</v>
      </c>
      <c r="D197" s="259">
        <v>7.6065950393676758</v>
      </c>
      <c r="E197" s="259">
        <v>7.6421170234680176</v>
      </c>
      <c r="F197" s="259">
        <v>7.6775150299072266</v>
      </c>
      <c r="G197" s="259">
        <v>7.7127900123596191</v>
      </c>
      <c r="H197" s="259">
        <v>7.7479400634765625</v>
      </c>
      <c r="I197" s="260">
        <v>7.583221</v>
      </c>
      <c r="J197" s="260">
        <v>7.6229319999999996</v>
      </c>
      <c r="K197" s="260">
        <v>7.6616809999999997</v>
      </c>
      <c r="L197" s="260">
        <v>7.6995299999999993</v>
      </c>
      <c r="M197" s="260">
        <v>7.7365489999999992</v>
      </c>
      <c r="N197" s="260">
        <v>7.7728229999999998</v>
      </c>
      <c r="O197" s="260">
        <v>7.8084449999999999</v>
      </c>
      <c r="P197" s="260">
        <v>7.8435090000000001</v>
      </c>
      <c r="Q197" s="260">
        <v>7.8781159999999995</v>
      </c>
      <c r="R197" s="260">
        <v>7.9123609999999998</v>
      </c>
      <c r="S197" s="260">
        <v>7.9463369999999998</v>
      </c>
      <c r="T197" s="260">
        <v>7.980124</v>
      </c>
      <c r="U197" s="260">
        <v>8.0137879999999999</v>
      </c>
      <c r="V197" s="260">
        <v>8.0473730000000003</v>
      </c>
      <c r="W197" s="260">
        <v>8.0808920000000004</v>
      </c>
      <c r="X197" s="260">
        <v>8.1143470000000004</v>
      </c>
      <c r="Y197" s="260">
        <v>8.1477339999999998</v>
      </c>
      <c r="Z197" s="260">
        <v>8.1810539999999996</v>
      </c>
      <c r="AA197" s="260">
        <v>8.2143049999999995</v>
      </c>
      <c r="AB197" s="260">
        <v>8.2474879999999988</v>
      </c>
      <c r="AC197" s="260">
        <v>8.2805990000000005</v>
      </c>
      <c r="AD197" s="260">
        <v>8.3136399999999995</v>
      </c>
      <c r="AE197" s="260">
        <v>8.3466079999999998</v>
      </c>
      <c r="AF197" s="260">
        <v>8.379503999999999</v>
      </c>
      <c r="AG197" s="260">
        <v>8.4123260000000002</v>
      </c>
      <c r="AH197" s="260">
        <v>8.4450729999999989</v>
      </c>
      <c r="AI197" s="260">
        <v>8.4777449999999988</v>
      </c>
      <c r="AJ197" s="260">
        <v>8.5103410000000004</v>
      </c>
      <c r="AK197" s="260">
        <v>8.542859</v>
      </c>
      <c r="AL197" s="260">
        <v>8.5753000000000004</v>
      </c>
      <c r="AM197" s="260">
        <v>8.6076629999999987</v>
      </c>
      <c r="AN197" s="260">
        <v>8.6399460000000001</v>
      </c>
      <c r="AO197" s="260">
        <v>8.6721489999999992</v>
      </c>
      <c r="AP197" s="260">
        <v>8.7042719999999996</v>
      </c>
      <c r="AQ197" s="260">
        <v>8.7363129999999991</v>
      </c>
      <c r="AR197" s="260">
        <v>8.7682719999999996</v>
      </c>
      <c r="AS197" s="260">
        <v>8.8001489999999993</v>
      </c>
      <c r="AT197" s="260">
        <v>8.8319419999999997</v>
      </c>
      <c r="AU197" s="260">
        <v>8.8636509999999991</v>
      </c>
      <c r="AV197" s="260">
        <v>8.8952759999999991</v>
      </c>
      <c r="AW197" s="260">
        <v>8.9268149999999995</v>
      </c>
      <c r="AX197" s="260">
        <v>8.9582680000000003</v>
      </c>
      <c r="AY197" s="260">
        <v>8.9896349999999998</v>
      </c>
      <c r="AZ197" s="260">
        <v>9.0209150000000005</v>
      </c>
      <c r="BA197" s="260">
        <v>9.0521079999999987</v>
      </c>
      <c r="BB197" s="260">
        <v>9.0832119999999996</v>
      </c>
      <c r="BC197" s="260">
        <v>9.1142269999999996</v>
      </c>
      <c r="BD197" s="260">
        <v>9.1451539999999998</v>
      </c>
      <c r="BE197" s="260">
        <v>9.1759899999999988</v>
      </c>
      <c r="BF197" s="260">
        <v>9.2067370000000004</v>
      </c>
      <c r="BG197" s="260">
        <v>9.2373929999999991</v>
      </c>
      <c r="BH197" s="260">
        <v>9.2679569999999991</v>
      </c>
      <c r="BI197" s="260">
        <v>9.2984299999999998</v>
      </c>
      <c r="BJ197" s="260">
        <v>9.328811</v>
      </c>
      <c r="BK197" s="260">
        <v>9.3590999999999998</v>
      </c>
      <c r="BL197" s="260">
        <v>9.3892949999999988</v>
      </c>
      <c r="BM197" s="260">
        <v>9.4193979999999993</v>
      </c>
      <c r="BN197" s="260">
        <v>9.4494059999999998</v>
      </c>
      <c r="BO197" s="260">
        <v>9.4793199999999995</v>
      </c>
      <c r="BP197" s="260">
        <v>9.5091400000000004</v>
      </c>
      <c r="BQ197" s="260">
        <v>9.5388649999999995</v>
      </c>
      <c r="BR197" s="260">
        <v>9.5684950000000004</v>
      </c>
      <c r="BS197" s="260">
        <v>9.5980299999999996</v>
      </c>
      <c r="BT197" s="260">
        <v>9.6274680000000004</v>
      </c>
      <c r="BU197" s="260">
        <v>9.6568100000000001</v>
      </c>
      <c r="BV197" s="260">
        <v>9.6860559999999989</v>
      </c>
      <c r="BW197" s="260">
        <v>9.7152049999999992</v>
      </c>
      <c r="BX197" s="260">
        <v>9.7442569999999993</v>
      </c>
      <c r="BY197" s="260">
        <v>9.7732109999999999</v>
      </c>
      <c r="BZ197" s="260">
        <v>9.8020680000000002</v>
      </c>
      <c r="CA197" s="260">
        <v>9.8308269999999993</v>
      </c>
      <c r="CB197" s="260">
        <v>9.8594879999999989</v>
      </c>
      <c r="CC197" s="260">
        <v>9.888050999999999</v>
      </c>
      <c r="CD197" s="260">
        <v>9.9165150000000004</v>
      </c>
      <c r="CE197" s="260">
        <v>9.9448799999999995</v>
      </c>
      <c r="CF197" s="260">
        <v>9.9731459999999998</v>
      </c>
      <c r="CG197" s="260">
        <v>10.001313</v>
      </c>
      <c r="CH197" s="260">
        <v>10.029380999999999</v>
      </c>
    </row>
    <row r="198" spans="1:86" x14ac:dyDescent="0.25">
      <c r="A198" s="170">
        <v>2</v>
      </c>
      <c r="B198" s="170">
        <v>87</v>
      </c>
      <c r="C198" s="259">
        <v>7.1365838050842285</v>
      </c>
      <c r="D198" s="259">
        <v>7.1694531440734863</v>
      </c>
      <c r="E198" s="259">
        <v>7.2022109031677246</v>
      </c>
      <c r="F198" s="259">
        <v>7.2348589897155762</v>
      </c>
      <c r="G198" s="259">
        <v>7.2673940658569336</v>
      </c>
      <c r="H198" s="259">
        <v>7.2998180389404297</v>
      </c>
      <c r="I198" s="260">
        <v>7.1084529999999999</v>
      </c>
      <c r="J198" s="260">
        <v>7.1460559999999997</v>
      </c>
      <c r="K198" s="260">
        <v>7.1827829999999997</v>
      </c>
      <c r="L198" s="260">
        <v>7.2186859999999999</v>
      </c>
      <c r="M198" s="260">
        <v>7.2538309999999999</v>
      </c>
      <c r="N198" s="260">
        <v>7.2882919999999993</v>
      </c>
      <c r="O198" s="260">
        <v>7.3221529999999992</v>
      </c>
      <c r="P198" s="260">
        <v>7.3555009999999994</v>
      </c>
      <c r="Q198" s="260">
        <v>7.3884270000000001</v>
      </c>
      <c r="R198" s="260">
        <v>7.4210189999999994</v>
      </c>
      <c r="S198" s="260">
        <v>7.4533609999999992</v>
      </c>
      <c r="T198" s="260">
        <v>7.4855269999999994</v>
      </c>
      <c r="U198" s="260">
        <v>7.5175779999999994</v>
      </c>
      <c r="V198" s="260">
        <v>7.5495549999999998</v>
      </c>
      <c r="W198" s="260">
        <v>7.5814729999999999</v>
      </c>
      <c r="X198" s="260">
        <v>7.6133289999999993</v>
      </c>
      <c r="Y198" s="260">
        <v>7.645124</v>
      </c>
      <c r="Z198" s="260">
        <v>7.676857</v>
      </c>
      <c r="AA198" s="260">
        <v>7.708526</v>
      </c>
      <c r="AB198" s="260">
        <v>7.7401309999999999</v>
      </c>
      <c r="AC198" s="260">
        <v>7.7716719999999997</v>
      </c>
      <c r="AD198" s="260">
        <v>7.8031459999999999</v>
      </c>
      <c r="AE198" s="260">
        <v>7.8345539999999998</v>
      </c>
      <c r="AF198" s="260">
        <v>7.8658939999999999</v>
      </c>
      <c r="AG198" s="260">
        <v>7.8971669999999996</v>
      </c>
      <c r="AH198" s="260">
        <v>7.9283699999999993</v>
      </c>
      <c r="AI198" s="260">
        <v>7.9595039999999999</v>
      </c>
      <c r="AJ198" s="260">
        <v>7.9905679999999997</v>
      </c>
      <c r="AK198" s="260">
        <v>8.0215599999999991</v>
      </c>
      <c r="AL198" s="260">
        <v>8.0524810000000002</v>
      </c>
      <c r="AM198" s="260">
        <v>8.0833289999999991</v>
      </c>
      <c r="AN198" s="260">
        <v>8.1141039999999993</v>
      </c>
      <c r="AO198" s="260">
        <v>8.1448059999999991</v>
      </c>
      <c r="AP198" s="260">
        <v>8.175433</v>
      </c>
      <c r="AQ198" s="260">
        <v>8.2059850000000001</v>
      </c>
      <c r="AR198" s="260">
        <v>8.2364610000000003</v>
      </c>
      <c r="AS198" s="260">
        <v>8.2668599999999994</v>
      </c>
      <c r="AT198" s="260">
        <v>8.2971830000000004</v>
      </c>
      <c r="AU198" s="260">
        <v>8.3274290000000004</v>
      </c>
      <c r="AV198" s="260">
        <v>8.3575959999999991</v>
      </c>
      <c r="AW198" s="260">
        <v>8.3876840000000001</v>
      </c>
      <c r="AX198" s="260">
        <v>8.4176939999999991</v>
      </c>
      <c r="AY198" s="260">
        <v>8.4476230000000001</v>
      </c>
      <c r="AZ198" s="260">
        <v>8.4774719999999988</v>
      </c>
      <c r="BA198" s="260">
        <v>8.5072410000000005</v>
      </c>
      <c r="BB198" s="260">
        <v>8.5369279999999996</v>
      </c>
      <c r="BC198" s="260">
        <v>8.5665329999999997</v>
      </c>
      <c r="BD198" s="260">
        <v>8.596055999999999</v>
      </c>
      <c r="BE198" s="260">
        <v>8.6254960000000001</v>
      </c>
      <c r="BF198" s="260">
        <v>8.6548529999999992</v>
      </c>
      <c r="BG198" s="260">
        <v>8.6841270000000002</v>
      </c>
      <c r="BH198" s="260">
        <v>8.713315999999999</v>
      </c>
      <c r="BI198" s="260">
        <v>8.7424199999999992</v>
      </c>
      <c r="BJ198" s="260">
        <v>8.7714400000000001</v>
      </c>
      <c r="BK198" s="260">
        <v>8.8003739999999997</v>
      </c>
      <c r="BL198" s="260">
        <v>8.8292229999999989</v>
      </c>
      <c r="BM198" s="260">
        <v>8.8579849999999993</v>
      </c>
      <c r="BN198" s="260">
        <v>8.8866610000000001</v>
      </c>
      <c r="BO198" s="260">
        <v>8.9152500000000003</v>
      </c>
      <c r="BP198" s="260">
        <v>8.9437519999999999</v>
      </c>
      <c r="BQ198" s="260">
        <v>8.9721659999999996</v>
      </c>
      <c r="BR198" s="260">
        <v>9.0004929999999987</v>
      </c>
      <c r="BS198" s="260">
        <v>9.0287309999999987</v>
      </c>
      <c r="BT198" s="260">
        <v>9.0568799999999996</v>
      </c>
      <c r="BU198" s="260">
        <v>9.0849409999999988</v>
      </c>
      <c r="BV198" s="260">
        <v>9.1129129999999989</v>
      </c>
      <c r="BW198" s="260">
        <v>9.1407949999999989</v>
      </c>
      <c r="BX198" s="260">
        <v>9.1685879999999997</v>
      </c>
      <c r="BY198" s="260">
        <v>9.1962910000000004</v>
      </c>
      <c r="BZ198" s="260">
        <v>9.223903</v>
      </c>
      <c r="CA198" s="260">
        <v>9.2514249999999993</v>
      </c>
      <c r="CB198" s="260">
        <v>9.2788570000000004</v>
      </c>
      <c r="CC198" s="260">
        <v>9.3061969999999992</v>
      </c>
      <c r="CD198" s="260">
        <v>9.3334469999999996</v>
      </c>
      <c r="CE198" s="260">
        <v>9.3606049999999996</v>
      </c>
      <c r="CF198" s="260">
        <v>9.3876720000000002</v>
      </c>
      <c r="CG198" s="260">
        <v>9.4146470000000004</v>
      </c>
      <c r="CH198" s="260">
        <v>9.4415300000000002</v>
      </c>
    </row>
    <row r="199" spans="1:86" x14ac:dyDescent="0.25">
      <c r="A199" s="170">
        <v>2</v>
      </c>
      <c r="B199" s="170">
        <v>88</v>
      </c>
      <c r="C199" s="259">
        <v>6.7134370803833008</v>
      </c>
      <c r="D199" s="259">
        <v>6.7432489395141602</v>
      </c>
      <c r="E199" s="259">
        <v>6.7729659080505371</v>
      </c>
      <c r="F199" s="259">
        <v>6.8025870323181152</v>
      </c>
      <c r="G199" s="259">
        <v>6.8321108818054199</v>
      </c>
      <c r="H199" s="259">
        <v>6.8615379333496094</v>
      </c>
      <c r="I199" s="260">
        <v>6.6539729999999997</v>
      </c>
      <c r="J199" s="260">
        <v>6.6892809999999994</v>
      </c>
      <c r="K199" s="260">
        <v>6.7237960000000001</v>
      </c>
      <c r="L199" s="260">
        <v>6.7575639999999995</v>
      </c>
      <c r="M199" s="260">
        <v>6.7906399999999998</v>
      </c>
      <c r="N199" s="260">
        <v>6.8230930000000001</v>
      </c>
      <c r="O199" s="260">
        <v>6.8549959999999999</v>
      </c>
      <c r="P199" s="260">
        <v>6.886431</v>
      </c>
      <c r="Q199" s="260">
        <v>6.9174799999999994</v>
      </c>
      <c r="R199" s="260">
        <v>6.9482239999999997</v>
      </c>
      <c r="S199" s="260">
        <v>6.9787399999999993</v>
      </c>
      <c r="T199" s="260">
        <v>7.0090949999999994</v>
      </c>
      <c r="U199" s="260">
        <v>7.0393439999999998</v>
      </c>
      <c r="V199" s="260">
        <v>7.0695249999999996</v>
      </c>
      <c r="W199" s="260">
        <v>7.0996509999999997</v>
      </c>
      <c r="X199" s="260">
        <v>7.1297220000000001</v>
      </c>
      <c r="Y199" s="260">
        <v>7.1597369999999998</v>
      </c>
      <c r="Z199" s="260">
        <v>7.1896949999999995</v>
      </c>
      <c r="AA199" s="260">
        <v>7.219595</v>
      </c>
      <c r="AB199" s="260">
        <v>7.2494369999999995</v>
      </c>
      <c r="AC199" s="260">
        <v>7.2792189999999994</v>
      </c>
      <c r="AD199" s="260">
        <v>7.3089409999999999</v>
      </c>
      <c r="AE199" s="260">
        <v>7.338603</v>
      </c>
      <c r="AF199" s="260">
        <v>7.3682039999999995</v>
      </c>
      <c r="AG199" s="260">
        <v>7.397742</v>
      </c>
      <c r="AH199" s="260">
        <v>7.4272169999999997</v>
      </c>
      <c r="AI199" s="260">
        <v>7.4566299999999996</v>
      </c>
      <c r="AJ199" s="260">
        <v>7.4859779999999994</v>
      </c>
      <c r="AK199" s="260">
        <v>7.5152609999999997</v>
      </c>
      <c r="AL199" s="260">
        <v>7.5444800000000001</v>
      </c>
      <c r="AM199" s="260">
        <v>7.5736319999999999</v>
      </c>
      <c r="AN199" s="260">
        <v>7.6027179999999994</v>
      </c>
      <c r="AO199" s="260">
        <v>7.6317360000000001</v>
      </c>
      <c r="AP199" s="260">
        <v>7.6606869999999994</v>
      </c>
      <c r="AQ199" s="260">
        <v>7.6895699999999998</v>
      </c>
      <c r="AR199" s="260">
        <v>7.7183829999999993</v>
      </c>
      <c r="AS199" s="260">
        <v>7.747128</v>
      </c>
      <c r="AT199" s="260">
        <v>7.7758019999999997</v>
      </c>
      <c r="AU199" s="260">
        <v>7.8044059999999993</v>
      </c>
      <c r="AV199" s="260">
        <v>7.8329389999999997</v>
      </c>
      <c r="AW199" s="260">
        <v>7.8613999999999997</v>
      </c>
      <c r="AX199" s="260">
        <v>7.8897889999999995</v>
      </c>
      <c r="AY199" s="260">
        <v>7.9181059999999999</v>
      </c>
      <c r="AZ199" s="260">
        <v>7.9463499999999998</v>
      </c>
      <c r="BA199" s="260">
        <v>7.9745200000000001</v>
      </c>
      <c r="BB199" s="260">
        <v>8.002616999999999</v>
      </c>
      <c r="BC199" s="260">
        <v>8.030638999999999</v>
      </c>
      <c r="BD199" s="260">
        <v>8.058586</v>
      </c>
      <c r="BE199" s="260">
        <v>8.0864580000000004</v>
      </c>
      <c r="BF199" s="260">
        <v>8.114255</v>
      </c>
      <c r="BG199" s="260">
        <v>8.1419750000000004</v>
      </c>
      <c r="BH199" s="260">
        <v>8.1696189999999991</v>
      </c>
      <c r="BI199" s="260">
        <v>8.1971860000000003</v>
      </c>
      <c r="BJ199" s="260">
        <v>8.2246759999999988</v>
      </c>
      <c r="BK199" s="260">
        <v>8.2520879999999988</v>
      </c>
      <c r="BL199" s="260">
        <v>8.2794229999999995</v>
      </c>
      <c r="BM199" s="260">
        <v>8.306678999999999</v>
      </c>
      <c r="BN199" s="260">
        <v>8.333855999999999</v>
      </c>
      <c r="BO199" s="260">
        <v>8.3609549999999988</v>
      </c>
      <c r="BP199" s="260">
        <v>8.3879739999999998</v>
      </c>
      <c r="BQ199" s="260">
        <v>8.4149130000000003</v>
      </c>
      <c r="BR199" s="260">
        <v>8.4417729999999995</v>
      </c>
      <c r="BS199" s="260">
        <v>8.468553</v>
      </c>
      <c r="BT199" s="260">
        <v>8.4952519999999989</v>
      </c>
      <c r="BU199" s="260">
        <v>8.5218699999999998</v>
      </c>
      <c r="BV199" s="260">
        <v>8.5484069999999992</v>
      </c>
      <c r="BW199" s="260">
        <v>8.5748629999999988</v>
      </c>
      <c r="BX199" s="260">
        <v>8.6012380000000004</v>
      </c>
      <c r="BY199" s="260">
        <v>8.6275300000000001</v>
      </c>
      <c r="BZ199" s="260">
        <v>8.6537410000000001</v>
      </c>
      <c r="CA199" s="260">
        <v>8.6798690000000001</v>
      </c>
      <c r="CB199" s="260">
        <v>8.7059149999999992</v>
      </c>
      <c r="CC199" s="260">
        <v>8.7318789999999993</v>
      </c>
      <c r="CD199" s="260">
        <v>8.7577590000000001</v>
      </c>
      <c r="CE199" s="260">
        <v>8.7835570000000001</v>
      </c>
      <c r="CF199" s="260">
        <v>8.809270999999999</v>
      </c>
      <c r="CG199" s="260">
        <v>8.8349019999999996</v>
      </c>
      <c r="CH199" s="260">
        <v>8.8604489999999991</v>
      </c>
    </row>
    <row r="200" spans="1:86" x14ac:dyDescent="0.25">
      <c r="A200" s="170">
        <v>2</v>
      </c>
      <c r="B200" s="170">
        <v>89</v>
      </c>
      <c r="C200" s="259">
        <v>6.3012270927429199</v>
      </c>
      <c r="D200" s="259">
        <v>6.3276557922363281</v>
      </c>
      <c r="E200" s="259">
        <v>6.3540081977844238</v>
      </c>
      <c r="F200" s="259">
        <v>6.3802838325500488</v>
      </c>
      <c r="G200" s="259">
        <v>6.4064841270446777</v>
      </c>
      <c r="H200" s="259">
        <v>6.4326062202453613</v>
      </c>
      <c r="I200" s="260">
        <v>6.2185730000000001</v>
      </c>
      <c r="J200" s="260">
        <v>6.2514129999999994</v>
      </c>
      <c r="K200" s="260">
        <v>6.2835380000000001</v>
      </c>
      <c r="L200" s="260">
        <v>6.3149879999999996</v>
      </c>
      <c r="M200" s="260">
        <v>6.345809</v>
      </c>
      <c r="N200" s="260">
        <v>6.3760620000000001</v>
      </c>
      <c r="O200" s="260">
        <v>6.4058139999999995</v>
      </c>
      <c r="P200" s="260">
        <v>6.4351389999999995</v>
      </c>
      <c r="Q200" s="260">
        <v>6.4641109999999999</v>
      </c>
      <c r="R200" s="260">
        <v>6.492807</v>
      </c>
      <c r="S200" s="260">
        <v>6.5212959999999995</v>
      </c>
      <c r="T200" s="260">
        <v>6.5496400000000001</v>
      </c>
      <c r="U200" s="260">
        <v>6.5778889999999999</v>
      </c>
      <c r="V200" s="260">
        <v>6.606077</v>
      </c>
      <c r="W200" s="260">
        <v>6.6342169999999996</v>
      </c>
      <c r="X200" s="260">
        <v>6.6623060000000001</v>
      </c>
      <c r="Y200" s="260">
        <v>6.6903459999999999</v>
      </c>
      <c r="Z200" s="260">
        <v>6.7183349999999997</v>
      </c>
      <c r="AA200" s="260">
        <v>6.7462719999999994</v>
      </c>
      <c r="AB200" s="260">
        <v>6.7741569999999998</v>
      </c>
      <c r="AC200" s="260">
        <v>6.80199</v>
      </c>
      <c r="AD200" s="260">
        <v>6.8297679999999996</v>
      </c>
      <c r="AE200" s="260">
        <v>6.8574929999999998</v>
      </c>
      <c r="AF200" s="260">
        <v>6.8851629999999995</v>
      </c>
      <c r="AG200" s="260">
        <v>6.9127779999999994</v>
      </c>
      <c r="AH200" s="260">
        <v>6.9403369999999995</v>
      </c>
      <c r="AI200" s="260">
        <v>6.9678399999999998</v>
      </c>
      <c r="AJ200" s="260">
        <v>6.995285</v>
      </c>
      <c r="AK200" s="260">
        <v>7.0226729999999993</v>
      </c>
      <c r="AL200" s="260">
        <v>7.0500029999999994</v>
      </c>
      <c r="AM200" s="260">
        <v>7.0772740000000001</v>
      </c>
      <c r="AN200" s="260">
        <v>7.1044859999999996</v>
      </c>
      <c r="AO200" s="260">
        <v>7.1316389999999998</v>
      </c>
      <c r="AP200" s="260">
        <v>7.1587309999999995</v>
      </c>
      <c r="AQ200" s="260">
        <v>7.1857619999999995</v>
      </c>
      <c r="AR200" s="260">
        <v>7.2127319999999999</v>
      </c>
      <c r="AS200" s="260">
        <v>7.2396399999999996</v>
      </c>
      <c r="AT200" s="260">
        <v>7.2664859999999996</v>
      </c>
      <c r="AU200" s="260">
        <v>7.2932689999999996</v>
      </c>
      <c r="AV200" s="260">
        <v>7.3199899999999998</v>
      </c>
      <c r="AW200" s="260">
        <v>7.3466459999999998</v>
      </c>
      <c r="AX200" s="260">
        <v>7.3732389999999999</v>
      </c>
      <c r="AY200" s="260">
        <v>7.3997669999999998</v>
      </c>
      <c r="AZ200" s="260">
        <v>7.4262299999999994</v>
      </c>
      <c r="BA200" s="260">
        <v>7.4526279999999998</v>
      </c>
      <c r="BB200" s="260">
        <v>7.478961</v>
      </c>
      <c r="BC200" s="260">
        <v>7.5052269999999996</v>
      </c>
      <c r="BD200" s="260">
        <v>7.5314259999999997</v>
      </c>
      <c r="BE200" s="260">
        <v>7.5575589999999995</v>
      </c>
      <c r="BF200" s="260">
        <v>7.5836249999999996</v>
      </c>
      <c r="BG200" s="260">
        <v>7.6096219999999999</v>
      </c>
      <c r="BH200" s="260">
        <v>7.6355519999999997</v>
      </c>
      <c r="BI200" s="260">
        <v>7.6614139999999997</v>
      </c>
      <c r="BJ200" s="260">
        <v>7.6872069999999999</v>
      </c>
      <c r="BK200" s="260">
        <v>7.7129309999999993</v>
      </c>
      <c r="BL200" s="260">
        <v>7.7385849999999996</v>
      </c>
      <c r="BM200" s="260">
        <v>7.76417</v>
      </c>
      <c r="BN200" s="260">
        <v>7.7896849999999995</v>
      </c>
      <c r="BO200" s="260">
        <v>7.8151299999999999</v>
      </c>
      <c r="BP200" s="260">
        <v>7.8405039999999993</v>
      </c>
      <c r="BQ200" s="260">
        <v>7.8658079999999995</v>
      </c>
      <c r="BR200" s="260">
        <v>7.8910399999999994</v>
      </c>
      <c r="BS200" s="260">
        <v>7.916201</v>
      </c>
      <c r="BT200" s="260">
        <v>7.9412899999999995</v>
      </c>
      <c r="BU200" s="260">
        <v>7.9663079999999997</v>
      </c>
      <c r="BV200" s="260">
        <v>7.9912529999999995</v>
      </c>
      <c r="BW200" s="260">
        <v>8.0161259999999999</v>
      </c>
      <c r="BX200" s="260">
        <v>8.0409269999999999</v>
      </c>
      <c r="BY200" s="260">
        <v>8.0656540000000003</v>
      </c>
      <c r="BZ200" s="260">
        <v>8.0903089999999995</v>
      </c>
      <c r="CA200" s="260">
        <v>8.114889999999999</v>
      </c>
      <c r="CB200" s="260">
        <v>8.1393979999999999</v>
      </c>
      <c r="CC200" s="260">
        <v>8.1638319999999993</v>
      </c>
      <c r="CD200" s="260">
        <v>8.1881930000000001</v>
      </c>
      <c r="CE200" s="260">
        <v>8.2124790000000001</v>
      </c>
      <c r="CF200" s="260">
        <v>8.2366910000000004</v>
      </c>
      <c r="CG200" s="260">
        <v>8.2608289999999993</v>
      </c>
      <c r="CH200" s="260">
        <v>8.2848919999999993</v>
      </c>
    </row>
    <row r="201" spans="1:86" x14ac:dyDescent="0.25">
      <c r="A201" s="170">
        <v>2</v>
      </c>
      <c r="B201" s="170">
        <v>90</v>
      </c>
      <c r="C201" s="259">
        <v>5.9002971649169922</v>
      </c>
      <c r="D201" s="259">
        <v>5.9229469299316406</v>
      </c>
      <c r="E201" s="259">
        <v>5.9455471038818359</v>
      </c>
      <c r="F201" s="259">
        <v>5.9680972099304199</v>
      </c>
      <c r="G201" s="259">
        <v>5.9905967712402344</v>
      </c>
      <c r="H201" s="259">
        <v>6.0130457878112793</v>
      </c>
      <c r="I201" s="260">
        <v>5.8001399999999999</v>
      </c>
      <c r="J201" s="260">
        <v>5.8303599999999998</v>
      </c>
      <c r="K201" s="260">
        <v>5.859934</v>
      </c>
      <c r="L201" s="260">
        <v>5.8888949999999998</v>
      </c>
      <c r="M201" s="260">
        <v>5.9172849999999997</v>
      </c>
      <c r="N201" s="260">
        <v>5.9451549999999997</v>
      </c>
      <c r="O201" s="260">
        <v>5.9725659999999996</v>
      </c>
      <c r="P201" s="260">
        <v>5.9995849999999997</v>
      </c>
      <c r="Q201" s="260">
        <v>6.026281</v>
      </c>
      <c r="R201" s="260">
        <v>6.0527229999999994</v>
      </c>
      <c r="S201" s="260">
        <v>6.0789779999999993</v>
      </c>
      <c r="T201" s="260">
        <v>6.1051029999999997</v>
      </c>
      <c r="U201" s="260">
        <v>6.1311450000000001</v>
      </c>
      <c r="V201" s="260">
        <v>6.1571340000000001</v>
      </c>
      <c r="W201" s="260">
        <v>6.1830809999999996</v>
      </c>
      <c r="X201" s="260">
        <v>6.2089859999999994</v>
      </c>
      <c r="Y201" s="260">
        <v>6.2348469999999994</v>
      </c>
      <c r="Z201" s="260">
        <v>6.2606659999999996</v>
      </c>
      <c r="AA201" s="260">
        <v>6.2864399999999998</v>
      </c>
      <c r="AB201" s="260">
        <v>6.3121689999999999</v>
      </c>
      <c r="AC201" s="260">
        <v>6.337853</v>
      </c>
      <c r="AD201" s="260">
        <v>6.3634909999999998</v>
      </c>
      <c r="AE201" s="260">
        <v>6.3890829999999994</v>
      </c>
      <c r="AF201" s="260">
        <v>6.4146279999999996</v>
      </c>
      <c r="AG201" s="260">
        <v>6.4401250000000001</v>
      </c>
      <c r="AH201" s="260">
        <v>6.4655749999999994</v>
      </c>
      <c r="AI201" s="260">
        <v>6.490977</v>
      </c>
      <c r="AJ201" s="260">
        <v>6.5163289999999998</v>
      </c>
      <c r="AK201" s="260">
        <v>6.5416319999999999</v>
      </c>
      <c r="AL201" s="260">
        <v>6.5668859999999993</v>
      </c>
      <c r="AM201" s="260">
        <v>6.5920889999999996</v>
      </c>
      <c r="AN201" s="260">
        <v>6.6172409999999999</v>
      </c>
      <c r="AO201" s="260">
        <v>6.6423419999999993</v>
      </c>
      <c r="AP201" s="260">
        <v>6.6673909999999994</v>
      </c>
      <c r="AQ201" s="260">
        <v>6.6923879999999993</v>
      </c>
      <c r="AR201" s="260">
        <v>6.717333</v>
      </c>
      <c r="AS201" s="260">
        <v>6.7422249999999995</v>
      </c>
      <c r="AT201" s="260">
        <v>6.7670629999999994</v>
      </c>
      <c r="AU201" s="260">
        <v>6.7918479999999999</v>
      </c>
      <c r="AV201" s="260">
        <v>6.8165779999999998</v>
      </c>
      <c r="AW201" s="260">
        <v>6.8412539999999993</v>
      </c>
      <c r="AX201" s="260">
        <v>6.8658739999999998</v>
      </c>
      <c r="AY201" s="260">
        <v>6.8904399999999999</v>
      </c>
      <c r="AZ201" s="260">
        <v>6.914949</v>
      </c>
      <c r="BA201" s="260">
        <v>6.9394029999999995</v>
      </c>
      <c r="BB201" s="260">
        <v>6.9638</v>
      </c>
      <c r="BC201" s="260">
        <v>6.9881399999999996</v>
      </c>
      <c r="BD201" s="260">
        <v>7.0124230000000001</v>
      </c>
      <c r="BE201" s="260">
        <v>7.0366479999999996</v>
      </c>
      <c r="BF201" s="260">
        <v>7.060816</v>
      </c>
      <c r="BG201" s="260">
        <v>7.0849259999999994</v>
      </c>
      <c r="BH201" s="260">
        <v>7.1089769999999994</v>
      </c>
      <c r="BI201" s="260">
        <v>7.1329690000000001</v>
      </c>
      <c r="BJ201" s="260">
        <v>7.1569019999999997</v>
      </c>
      <c r="BK201" s="260">
        <v>7.1807759999999998</v>
      </c>
      <c r="BL201" s="260">
        <v>7.2045899999999996</v>
      </c>
      <c r="BM201" s="260">
        <v>7.2283439999999999</v>
      </c>
      <c r="BN201" s="260">
        <v>7.2520379999999998</v>
      </c>
      <c r="BO201" s="260">
        <v>7.275671</v>
      </c>
      <c r="BP201" s="260">
        <v>7.2992429999999997</v>
      </c>
      <c r="BQ201" s="260">
        <v>7.3227549999999999</v>
      </c>
      <c r="BR201" s="260">
        <v>7.3462049999999994</v>
      </c>
      <c r="BS201" s="260">
        <v>7.3695930000000001</v>
      </c>
      <c r="BT201" s="260">
        <v>7.3929199999999993</v>
      </c>
      <c r="BU201" s="260">
        <v>7.4161839999999994</v>
      </c>
      <c r="BV201" s="260">
        <v>7.439387</v>
      </c>
      <c r="BW201" s="260">
        <v>7.4625269999999997</v>
      </c>
      <c r="BX201" s="260">
        <v>7.4856039999999995</v>
      </c>
      <c r="BY201" s="260">
        <v>7.5086179999999993</v>
      </c>
      <c r="BZ201" s="260">
        <v>7.5315689999999993</v>
      </c>
      <c r="CA201" s="260">
        <v>7.5544569999999993</v>
      </c>
      <c r="CB201" s="260">
        <v>7.5772819999999994</v>
      </c>
      <c r="CC201" s="260">
        <v>7.6000419999999993</v>
      </c>
      <c r="CD201" s="260">
        <v>7.6227389999999993</v>
      </c>
      <c r="CE201" s="260">
        <v>7.6453720000000001</v>
      </c>
      <c r="CF201" s="260">
        <v>7.6679399999999998</v>
      </c>
      <c r="CG201" s="260">
        <v>7.6904439999999994</v>
      </c>
      <c r="CH201" s="260">
        <v>7.7128839999999999</v>
      </c>
    </row>
    <row r="202" spans="1:86" x14ac:dyDescent="0.25">
      <c r="A202" s="170">
        <v>2</v>
      </c>
      <c r="B202" s="170">
        <v>91</v>
      </c>
      <c r="C202" s="259">
        <v>5.5257267951965332</v>
      </c>
      <c r="D202" s="259">
        <v>5.5463438034057617</v>
      </c>
      <c r="E202" s="259">
        <v>5.5669131278991699</v>
      </c>
      <c r="F202" s="259">
        <v>5.587432861328125</v>
      </c>
      <c r="G202" s="259">
        <v>5.6079039573669434</v>
      </c>
      <c r="H202" s="259">
        <v>5.628324031829834</v>
      </c>
      <c r="I202" s="260">
        <v>5.3960039999999996</v>
      </c>
      <c r="J202" s="260">
        <v>5.4234710000000002</v>
      </c>
      <c r="K202" s="260">
        <v>5.4503509999999995</v>
      </c>
      <c r="L202" s="260">
        <v>5.4766680000000001</v>
      </c>
      <c r="M202" s="260">
        <v>5.5024600000000001</v>
      </c>
      <c r="N202" s="260">
        <v>5.5277719999999997</v>
      </c>
      <c r="O202" s="260">
        <v>5.552657</v>
      </c>
      <c r="P202" s="260">
        <v>5.5771759999999997</v>
      </c>
      <c r="Q202" s="260">
        <v>5.601394</v>
      </c>
      <c r="R202" s="260">
        <v>5.625375</v>
      </c>
      <c r="S202" s="260">
        <v>5.6491809999999996</v>
      </c>
      <c r="T202" s="260">
        <v>5.6728679999999994</v>
      </c>
      <c r="U202" s="260">
        <v>5.6964819999999996</v>
      </c>
      <c r="V202" s="260">
        <v>5.7200519999999999</v>
      </c>
      <c r="W202" s="260">
        <v>5.7435890000000001</v>
      </c>
      <c r="X202" s="260">
        <v>5.7670919999999999</v>
      </c>
      <c r="Y202" s="260">
        <v>5.7905619999999995</v>
      </c>
      <c r="Z202" s="260">
        <v>5.8139969999999996</v>
      </c>
      <c r="AA202" s="260">
        <v>5.8373970000000002</v>
      </c>
      <c r="AB202" s="260">
        <v>5.8607619999999994</v>
      </c>
      <c r="AC202" s="260">
        <v>5.8840909999999997</v>
      </c>
      <c r="AD202" s="260">
        <v>5.9073829999999994</v>
      </c>
      <c r="AE202" s="260">
        <v>5.9306380000000001</v>
      </c>
      <c r="AF202" s="260">
        <v>5.953856</v>
      </c>
      <c r="AG202" s="260">
        <v>5.9770370000000002</v>
      </c>
      <c r="AH202" s="260">
        <v>6.0001790000000002</v>
      </c>
      <c r="AI202" s="260">
        <v>6.0232830000000002</v>
      </c>
      <c r="AJ202" s="260">
        <v>6.0463469999999999</v>
      </c>
      <c r="AK202" s="260">
        <v>6.0693719999999995</v>
      </c>
      <c r="AL202" s="260">
        <v>6.0923569999999998</v>
      </c>
      <c r="AM202" s="260">
        <v>6.1153019999999998</v>
      </c>
      <c r="AN202" s="260">
        <v>6.1382059999999994</v>
      </c>
      <c r="AO202" s="260">
        <v>6.1610679999999993</v>
      </c>
      <c r="AP202" s="260">
        <v>6.1838899999999999</v>
      </c>
      <c r="AQ202" s="260">
        <v>6.2066689999999998</v>
      </c>
      <c r="AR202" s="260">
        <v>6.229406</v>
      </c>
      <c r="AS202" s="260">
        <v>6.2521009999999997</v>
      </c>
      <c r="AT202" s="260">
        <v>6.2747519999999994</v>
      </c>
      <c r="AU202" s="260">
        <v>6.2973599999999994</v>
      </c>
      <c r="AV202" s="260">
        <v>6.3199239999999994</v>
      </c>
      <c r="AW202" s="260">
        <v>6.3424439999999995</v>
      </c>
      <c r="AX202" s="260">
        <v>6.3649189999999995</v>
      </c>
      <c r="AY202" s="260">
        <v>6.3873499999999996</v>
      </c>
      <c r="AZ202" s="260">
        <v>6.4097349999999995</v>
      </c>
      <c r="BA202" s="260">
        <v>6.4320749999999993</v>
      </c>
      <c r="BB202" s="260">
        <v>6.4543689999999998</v>
      </c>
      <c r="BC202" s="260">
        <v>6.4766170000000001</v>
      </c>
      <c r="BD202" s="260">
        <v>6.4988190000000001</v>
      </c>
      <c r="BE202" s="260">
        <v>6.5209739999999998</v>
      </c>
      <c r="BF202" s="260">
        <v>6.5430809999999999</v>
      </c>
      <c r="BG202" s="260">
        <v>6.5651409999999997</v>
      </c>
      <c r="BH202" s="260">
        <v>6.587154</v>
      </c>
      <c r="BI202" s="260">
        <v>6.6091179999999996</v>
      </c>
      <c r="BJ202" s="260">
        <v>6.6310349999999998</v>
      </c>
      <c r="BK202" s="260">
        <v>6.6529029999999993</v>
      </c>
      <c r="BL202" s="260">
        <v>6.674722</v>
      </c>
      <c r="BM202" s="260">
        <v>6.696491</v>
      </c>
      <c r="BN202" s="260">
        <v>6.7182119999999994</v>
      </c>
      <c r="BO202" s="260">
        <v>6.7398829999999998</v>
      </c>
      <c r="BP202" s="260">
        <v>6.7615039999999995</v>
      </c>
      <c r="BQ202" s="260">
        <v>6.7830749999999993</v>
      </c>
      <c r="BR202" s="260">
        <v>6.8045960000000001</v>
      </c>
      <c r="BS202" s="260">
        <v>6.826066</v>
      </c>
      <c r="BT202" s="260">
        <v>6.8474849999999998</v>
      </c>
      <c r="BU202" s="260">
        <v>6.8688529999999997</v>
      </c>
      <c r="BV202" s="260">
        <v>6.8901699999999995</v>
      </c>
      <c r="BW202" s="260">
        <v>6.9114359999999992</v>
      </c>
      <c r="BX202" s="260">
        <v>6.9326499999999998</v>
      </c>
      <c r="BY202" s="260">
        <v>6.9538120000000001</v>
      </c>
      <c r="BZ202" s="260">
        <v>6.9749219999999994</v>
      </c>
      <c r="CA202" s="260">
        <v>6.9959789999999993</v>
      </c>
      <c r="CB202" s="260">
        <v>7.0169839999999999</v>
      </c>
      <c r="CC202" s="260">
        <v>7.0379369999999994</v>
      </c>
      <c r="CD202" s="260">
        <v>7.0588359999999994</v>
      </c>
      <c r="CE202" s="260">
        <v>7.079682</v>
      </c>
      <c r="CF202" s="260">
        <v>7.1004759999999996</v>
      </c>
      <c r="CG202" s="260">
        <v>7.1212159999999995</v>
      </c>
      <c r="CH202" s="260">
        <v>7.141902</v>
      </c>
    </row>
    <row r="203" spans="1:86" x14ac:dyDescent="0.25">
      <c r="A203" s="170">
        <v>2</v>
      </c>
      <c r="B203" s="170">
        <v>92</v>
      </c>
      <c r="C203" s="259">
        <v>5.1644368171691895</v>
      </c>
      <c r="D203" s="259">
        <v>5.182793140411377</v>
      </c>
      <c r="E203" s="259">
        <v>5.2011032104492188</v>
      </c>
      <c r="F203" s="259">
        <v>5.2193660736083984</v>
      </c>
      <c r="G203" s="259">
        <v>5.2375822067260742</v>
      </c>
      <c r="H203" s="259">
        <v>5.2557511329650879</v>
      </c>
      <c r="I203" s="260">
        <v>5.0090729999999999</v>
      </c>
      <c r="J203" s="260">
        <v>5.0338609999999999</v>
      </c>
      <c r="K203" s="260">
        <v>5.0581179999999994</v>
      </c>
      <c r="L203" s="260">
        <v>5.0818639999999995</v>
      </c>
      <c r="M203" s="260">
        <v>5.1051299999999999</v>
      </c>
      <c r="N203" s="260">
        <v>5.127955</v>
      </c>
      <c r="O203" s="260">
        <v>5.150385</v>
      </c>
      <c r="P203" s="260">
        <v>5.1724759999999996</v>
      </c>
      <c r="Q203" s="260">
        <v>5.194286</v>
      </c>
      <c r="R203" s="260">
        <v>5.2158739999999995</v>
      </c>
      <c r="S203" s="260">
        <v>5.2372999999999994</v>
      </c>
      <c r="T203" s="260">
        <v>5.2586170000000001</v>
      </c>
      <c r="U203" s="260">
        <v>5.2798679999999996</v>
      </c>
      <c r="V203" s="260">
        <v>5.3010820000000001</v>
      </c>
      <c r="W203" s="260">
        <v>5.3222709999999998</v>
      </c>
      <c r="X203" s="260">
        <v>5.3434339999999994</v>
      </c>
      <c r="Y203" s="260">
        <v>5.3645689999999995</v>
      </c>
      <c r="Z203" s="260">
        <v>5.3856779999999995</v>
      </c>
      <c r="AA203" s="260">
        <v>5.4067590000000001</v>
      </c>
      <c r="AB203" s="260">
        <v>5.4278119999999994</v>
      </c>
      <c r="AC203" s="260">
        <v>5.448836</v>
      </c>
      <c r="AD203" s="260">
        <v>5.4698319999999994</v>
      </c>
      <c r="AE203" s="260">
        <v>5.4907979999999998</v>
      </c>
      <c r="AF203" s="260">
        <v>5.5117349999999998</v>
      </c>
      <c r="AG203" s="260">
        <v>5.5326429999999993</v>
      </c>
      <c r="AH203" s="260">
        <v>5.5535189999999997</v>
      </c>
      <c r="AI203" s="260">
        <v>5.5743659999999995</v>
      </c>
      <c r="AJ203" s="260">
        <v>5.5951810000000002</v>
      </c>
      <c r="AK203" s="260">
        <v>5.615964</v>
      </c>
      <c r="AL203" s="260">
        <v>5.6367159999999998</v>
      </c>
      <c r="AM203" s="260">
        <v>5.6574359999999997</v>
      </c>
      <c r="AN203" s="260">
        <v>5.6781239999999995</v>
      </c>
      <c r="AO203" s="260">
        <v>5.6987779999999999</v>
      </c>
      <c r="AP203" s="260">
        <v>5.7193999999999994</v>
      </c>
      <c r="AQ203" s="260">
        <v>5.7399879999999994</v>
      </c>
      <c r="AR203" s="260">
        <v>5.7605420000000001</v>
      </c>
      <c r="AS203" s="260">
        <v>5.7810619999999995</v>
      </c>
      <c r="AT203" s="260">
        <v>5.8015479999999995</v>
      </c>
      <c r="AU203" s="260">
        <v>5.8219989999999999</v>
      </c>
      <c r="AV203" s="260">
        <v>5.8424139999999998</v>
      </c>
      <c r="AW203" s="260">
        <v>5.8627949999999993</v>
      </c>
      <c r="AX203" s="260">
        <v>5.88314</v>
      </c>
      <c r="AY203" s="260">
        <v>5.903448</v>
      </c>
      <c r="AZ203" s="260">
        <v>5.9237209999999996</v>
      </c>
      <c r="BA203" s="260">
        <v>5.9439570000000002</v>
      </c>
      <c r="BB203" s="260">
        <v>5.964156</v>
      </c>
      <c r="BC203" s="260">
        <v>5.984318</v>
      </c>
      <c r="BD203" s="260">
        <v>6.0044429999999993</v>
      </c>
      <c r="BE203" s="260">
        <v>6.0245289999999994</v>
      </c>
      <c r="BF203" s="260">
        <v>6.0445779999999996</v>
      </c>
      <c r="BG203" s="260">
        <v>6.0645889999999998</v>
      </c>
      <c r="BH203" s="260">
        <v>6.0845609999999999</v>
      </c>
      <c r="BI203" s="260">
        <v>6.104495</v>
      </c>
      <c r="BJ203" s="260">
        <v>6.1243889999999999</v>
      </c>
      <c r="BK203" s="260">
        <v>6.1442439999999996</v>
      </c>
      <c r="BL203" s="260">
        <v>6.1640600000000001</v>
      </c>
      <c r="BM203" s="260">
        <v>6.1838359999999994</v>
      </c>
      <c r="BN203" s="260">
        <v>6.2035719999999994</v>
      </c>
      <c r="BO203" s="260">
        <v>6.223268</v>
      </c>
      <c r="BP203" s="260">
        <v>6.2429239999999995</v>
      </c>
      <c r="BQ203" s="260">
        <v>6.2625389999999994</v>
      </c>
      <c r="BR203" s="260">
        <v>6.2821129999999998</v>
      </c>
      <c r="BS203" s="260">
        <v>6.3016449999999997</v>
      </c>
      <c r="BT203" s="260">
        <v>6.3211369999999993</v>
      </c>
      <c r="BU203" s="260">
        <v>6.3405869999999993</v>
      </c>
      <c r="BV203" s="260">
        <v>6.3599949999999996</v>
      </c>
      <c r="BW203" s="260">
        <v>6.3793619999999995</v>
      </c>
      <c r="BX203" s="260">
        <v>6.3986859999999997</v>
      </c>
      <c r="BY203" s="260">
        <v>6.4179680000000001</v>
      </c>
      <c r="BZ203" s="260">
        <v>6.437208</v>
      </c>
      <c r="CA203" s="260">
        <v>6.4564049999999993</v>
      </c>
      <c r="CB203" s="260">
        <v>6.4755589999999996</v>
      </c>
      <c r="CC203" s="260">
        <v>6.4946699999999993</v>
      </c>
      <c r="CD203" s="260">
        <v>6.513738</v>
      </c>
      <c r="CE203" s="260">
        <v>6.532762</v>
      </c>
      <c r="CF203" s="260">
        <v>6.5517430000000001</v>
      </c>
      <c r="CG203" s="260">
        <v>6.5706799999999994</v>
      </c>
      <c r="CH203" s="260">
        <v>6.5895729999999997</v>
      </c>
    </row>
    <row r="204" spans="1:86" x14ac:dyDescent="0.25">
      <c r="A204" s="170">
        <v>2</v>
      </c>
      <c r="B204" s="170">
        <v>93</v>
      </c>
      <c r="C204" s="259">
        <v>4.8177738189697266</v>
      </c>
      <c r="D204" s="259">
        <v>4.8335709571838379</v>
      </c>
      <c r="E204" s="259">
        <v>4.8493270874023438</v>
      </c>
      <c r="F204" s="259">
        <v>4.8650407791137695</v>
      </c>
      <c r="G204" s="259">
        <v>4.8807129859924316</v>
      </c>
      <c r="H204" s="259">
        <v>4.8963432312011719</v>
      </c>
      <c r="I204" s="260">
        <v>4.6436039999999998</v>
      </c>
      <c r="J204" s="260">
        <v>4.6657760000000001</v>
      </c>
      <c r="K204" s="260">
        <v>4.6874729999999998</v>
      </c>
      <c r="L204" s="260">
        <v>4.7087110000000001</v>
      </c>
      <c r="M204" s="260">
        <v>4.7295129999999999</v>
      </c>
      <c r="N204" s="260">
        <v>4.7499139999999995</v>
      </c>
      <c r="O204" s="260">
        <v>4.7699549999999995</v>
      </c>
      <c r="P204" s="260">
        <v>4.7896809999999999</v>
      </c>
      <c r="Q204" s="260">
        <v>4.8091479999999995</v>
      </c>
      <c r="R204" s="260">
        <v>4.8284089999999997</v>
      </c>
      <c r="S204" s="260">
        <v>4.847518</v>
      </c>
      <c r="T204" s="260">
        <v>4.8665269999999996</v>
      </c>
      <c r="U204" s="260">
        <v>4.8854759999999997</v>
      </c>
      <c r="V204" s="260">
        <v>4.9043950000000001</v>
      </c>
      <c r="W204" s="260">
        <v>4.9232930000000001</v>
      </c>
      <c r="X204" s="260">
        <v>4.9421710000000001</v>
      </c>
      <c r="Y204" s="260">
        <v>4.9610269999999996</v>
      </c>
      <c r="Z204" s="260">
        <v>4.9798619999999998</v>
      </c>
      <c r="AA204" s="260">
        <v>4.9986749999999995</v>
      </c>
      <c r="AB204" s="260">
        <v>5.0174669999999999</v>
      </c>
      <c r="AC204" s="260">
        <v>5.0362349999999996</v>
      </c>
      <c r="AD204" s="260">
        <v>5.0549809999999997</v>
      </c>
      <c r="AE204" s="260">
        <v>5.0737040000000002</v>
      </c>
      <c r="AF204" s="260">
        <v>5.0924040000000002</v>
      </c>
      <c r="AG204" s="260">
        <v>5.1110799999999994</v>
      </c>
      <c r="AH204" s="260">
        <v>5.1297319999999997</v>
      </c>
      <c r="AI204" s="260">
        <v>5.1483599999999994</v>
      </c>
      <c r="AJ204" s="260">
        <v>5.166963</v>
      </c>
      <c r="AK204" s="260">
        <v>5.1855419999999999</v>
      </c>
      <c r="AL204" s="260">
        <v>5.2040949999999997</v>
      </c>
      <c r="AM204" s="260">
        <v>5.2226229999999996</v>
      </c>
      <c r="AN204" s="260">
        <v>5.2411249999999994</v>
      </c>
      <c r="AO204" s="260">
        <v>5.259601</v>
      </c>
      <c r="AP204" s="260">
        <v>5.2780499999999995</v>
      </c>
      <c r="AQ204" s="260">
        <v>5.2964739999999999</v>
      </c>
      <c r="AR204" s="260">
        <v>5.31487</v>
      </c>
      <c r="AS204" s="260">
        <v>5.3332389999999998</v>
      </c>
      <c r="AT204" s="260">
        <v>5.3515809999999995</v>
      </c>
      <c r="AU204" s="260">
        <v>5.3698949999999996</v>
      </c>
      <c r="AV204" s="260">
        <v>5.3881819999999996</v>
      </c>
      <c r="AW204" s="260">
        <v>5.4064399999999999</v>
      </c>
      <c r="AX204" s="260">
        <v>5.4246699999999999</v>
      </c>
      <c r="AY204" s="260">
        <v>5.4428709999999993</v>
      </c>
      <c r="AZ204" s="260">
        <v>5.4610430000000001</v>
      </c>
      <c r="BA204" s="260">
        <v>5.4791859999999994</v>
      </c>
      <c r="BB204" s="260">
        <v>5.4973000000000001</v>
      </c>
      <c r="BC204" s="260">
        <v>5.5153840000000001</v>
      </c>
      <c r="BD204" s="260">
        <v>5.5334379999999994</v>
      </c>
      <c r="BE204" s="260">
        <v>5.551463</v>
      </c>
      <c r="BF204" s="260">
        <v>5.5694559999999997</v>
      </c>
      <c r="BG204" s="260">
        <v>5.5874199999999998</v>
      </c>
      <c r="BH204" s="260">
        <v>5.6053519999999999</v>
      </c>
      <c r="BI204" s="260">
        <v>5.6232539999999993</v>
      </c>
      <c r="BJ204" s="260">
        <v>5.6411239999999996</v>
      </c>
      <c r="BK204" s="260">
        <v>5.658963</v>
      </c>
      <c r="BL204" s="260">
        <v>5.6767709999999996</v>
      </c>
      <c r="BM204" s="260">
        <v>5.6945459999999999</v>
      </c>
      <c r="BN204" s="260">
        <v>5.7122899999999994</v>
      </c>
      <c r="BO204" s="260">
        <v>5.7300009999999997</v>
      </c>
      <c r="BP204" s="260">
        <v>5.7476799999999999</v>
      </c>
      <c r="BQ204" s="260">
        <v>5.765326</v>
      </c>
      <c r="BR204" s="260">
        <v>5.7829389999999998</v>
      </c>
      <c r="BS204" s="260">
        <v>5.8005199999999997</v>
      </c>
      <c r="BT204" s="260">
        <v>5.8180670000000001</v>
      </c>
      <c r="BU204" s="260">
        <v>5.8355809999999995</v>
      </c>
      <c r="BV204" s="260">
        <v>5.8530609999999994</v>
      </c>
      <c r="BW204" s="260">
        <v>5.8705080000000001</v>
      </c>
      <c r="BX204" s="260">
        <v>5.8879209999999995</v>
      </c>
      <c r="BY204" s="260">
        <v>5.9052999999999995</v>
      </c>
      <c r="BZ204" s="260">
        <v>5.922644</v>
      </c>
      <c r="CA204" s="260">
        <v>5.9399539999999993</v>
      </c>
      <c r="CB204" s="260">
        <v>5.95723</v>
      </c>
      <c r="CC204" s="260">
        <v>5.9744700000000002</v>
      </c>
      <c r="CD204" s="260">
        <v>5.991676</v>
      </c>
      <c r="CE204" s="260">
        <v>6.0088469999999994</v>
      </c>
      <c r="CF204" s="260">
        <v>6.0259830000000001</v>
      </c>
      <c r="CG204" s="260">
        <v>6.0430829999999993</v>
      </c>
      <c r="CH204" s="260">
        <v>6.0601479999999999</v>
      </c>
    </row>
    <row r="205" spans="1:86" x14ac:dyDescent="0.25">
      <c r="A205" s="170">
        <v>2</v>
      </c>
      <c r="B205" s="170">
        <v>94</v>
      </c>
      <c r="C205" s="259">
        <v>4.4871220588684082</v>
      </c>
      <c r="D205" s="259">
        <v>4.4999628067016602</v>
      </c>
      <c r="E205" s="259">
        <v>4.5127730369567871</v>
      </c>
      <c r="F205" s="259">
        <v>4.5255498886108398</v>
      </c>
      <c r="G205" s="259">
        <v>4.538294792175293</v>
      </c>
      <c r="H205" s="259">
        <v>4.5510082244873047</v>
      </c>
      <c r="I205" s="260">
        <v>4.3070069999999996</v>
      </c>
      <c r="J205" s="260">
        <v>4.3265959999999994</v>
      </c>
      <c r="K205" s="260">
        <v>4.3457660000000002</v>
      </c>
      <c r="L205" s="260">
        <v>4.364528</v>
      </c>
      <c r="M205" s="260">
        <v>4.3829000000000002</v>
      </c>
      <c r="N205" s="260">
        <v>4.4009119999999999</v>
      </c>
      <c r="O205" s="260">
        <v>4.4185970000000001</v>
      </c>
      <c r="P205" s="260">
        <v>4.4359979999999997</v>
      </c>
      <c r="Q205" s="260">
        <v>4.4531599999999996</v>
      </c>
      <c r="R205" s="260">
        <v>4.4701339999999998</v>
      </c>
      <c r="S205" s="260">
        <v>4.4869680000000001</v>
      </c>
      <c r="T205" s="260">
        <v>4.5037089999999997</v>
      </c>
      <c r="U205" s="260">
        <v>4.5203980000000001</v>
      </c>
      <c r="V205" s="260">
        <v>4.5370599999999994</v>
      </c>
      <c r="W205" s="260">
        <v>4.553706</v>
      </c>
      <c r="X205" s="260">
        <v>4.5703360000000002</v>
      </c>
      <c r="Y205" s="260">
        <v>4.5869489999999997</v>
      </c>
      <c r="Z205" s="260">
        <v>4.6035449999999996</v>
      </c>
      <c r="AA205" s="260">
        <v>4.6201239999999997</v>
      </c>
      <c r="AB205" s="260">
        <v>4.6366860000000001</v>
      </c>
      <c r="AC205" s="260">
        <v>4.6532299999999998</v>
      </c>
      <c r="AD205" s="260">
        <v>4.6697559999999996</v>
      </c>
      <c r="AE205" s="260">
        <v>4.6862639999999995</v>
      </c>
      <c r="AF205" s="260">
        <v>4.7027539999999997</v>
      </c>
      <c r="AG205" s="260">
        <v>4.7192239999999996</v>
      </c>
      <c r="AH205" s="260">
        <v>4.7356759999999998</v>
      </c>
      <c r="AI205" s="260">
        <v>4.7521089999999999</v>
      </c>
      <c r="AJ205" s="260">
        <v>4.7685230000000001</v>
      </c>
      <c r="AK205" s="260">
        <v>4.7849170000000001</v>
      </c>
      <c r="AL205" s="260">
        <v>4.801291</v>
      </c>
      <c r="AM205" s="260">
        <v>4.8176449999999997</v>
      </c>
      <c r="AN205" s="260">
        <v>4.8339789999999994</v>
      </c>
      <c r="AO205" s="260">
        <v>4.8502919999999996</v>
      </c>
      <c r="AP205" s="260">
        <v>4.8665849999999997</v>
      </c>
      <c r="AQ205" s="260">
        <v>4.8828569999999996</v>
      </c>
      <c r="AR205" s="260">
        <v>4.8991069999999999</v>
      </c>
      <c r="AS205" s="260">
        <v>4.9153359999999999</v>
      </c>
      <c r="AT205" s="260">
        <v>4.9315439999999997</v>
      </c>
      <c r="AU205" s="260">
        <v>4.94773</v>
      </c>
      <c r="AV205" s="260">
        <v>4.9638939999999998</v>
      </c>
      <c r="AW205" s="260">
        <v>4.980035</v>
      </c>
      <c r="AX205" s="260">
        <v>4.9961539999999998</v>
      </c>
      <c r="AY205" s="260">
        <v>5.012251</v>
      </c>
      <c r="AZ205" s="260">
        <v>5.0283249999999997</v>
      </c>
      <c r="BA205" s="260">
        <v>5.0443749999999996</v>
      </c>
      <c r="BB205" s="260">
        <v>5.060403</v>
      </c>
      <c r="BC205" s="260">
        <v>5.0764069999999997</v>
      </c>
      <c r="BD205" s="260">
        <v>5.0923879999999997</v>
      </c>
      <c r="BE205" s="260">
        <v>5.1083449999999999</v>
      </c>
      <c r="BF205" s="260">
        <v>5.1242779999999994</v>
      </c>
      <c r="BG205" s="260">
        <v>5.1401870000000001</v>
      </c>
      <c r="BH205" s="260">
        <v>5.1560709999999998</v>
      </c>
      <c r="BI205" s="260">
        <v>5.1719309999999998</v>
      </c>
      <c r="BJ205" s="260">
        <v>5.187767</v>
      </c>
      <c r="BK205" s="260">
        <v>5.2035770000000001</v>
      </c>
      <c r="BL205" s="260">
        <v>5.2193629999999995</v>
      </c>
      <c r="BM205" s="260">
        <v>5.2351229999999997</v>
      </c>
      <c r="BN205" s="260">
        <v>5.250858</v>
      </c>
      <c r="BO205" s="260">
        <v>5.2665679999999995</v>
      </c>
      <c r="BP205" s="260">
        <v>5.2822519999999997</v>
      </c>
      <c r="BQ205" s="260">
        <v>5.2979099999999999</v>
      </c>
      <c r="BR205" s="260">
        <v>5.313542</v>
      </c>
      <c r="BS205" s="260">
        <v>5.329148</v>
      </c>
      <c r="BT205" s="260">
        <v>5.3447269999999998</v>
      </c>
      <c r="BU205" s="260">
        <v>5.3602809999999996</v>
      </c>
      <c r="BV205" s="260">
        <v>5.375807</v>
      </c>
      <c r="BW205" s="260">
        <v>5.3913069999999994</v>
      </c>
      <c r="BX205" s="260">
        <v>5.4067799999999995</v>
      </c>
      <c r="BY205" s="260">
        <v>5.4222259999999993</v>
      </c>
      <c r="BZ205" s="260">
        <v>5.4376449999999998</v>
      </c>
      <c r="CA205" s="260">
        <v>5.4530370000000001</v>
      </c>
      <c r="CB205" s="260">
        <v>5.4684010000000001</v>
      </c>
      <c r="CC205" s="260">
        <v>5.4837369999999996</v>
      </c>
      <c r="CD205" s="260">
        <v>5.4990459999999999</v>
      </c>
      <c r="CE205" s="260">
        <v>5.5143269999999998</v>
      </c>
      <c r="CF205" s="260">
        <v>5.5295800000000002</v>
      </c>
      <c r="CG205" s="260">
        <v>5.5448049999999993</v>
      </c>
      <c r="CH205" s="260">
        <v>5.5600019999999999</v>
      </c>
    </row>
    <row r="206" spans="1:86" x14ac:dyDescent="0.25">
      <c r="A206" s="170">
        <v>2</v>
      </c>
      <c r="B206" s="170">
        <v>95</v>
      </c>
      <c r="C206" s="259">
        <v>4.1738138198852539</v>
      </c>
      <c r="D206" s="259">
        <v>4.1831579208374023</v>
      </c>
      <c r="E206" s="259">
        <v>4.1924881935119629</v>
      </c>
      <c r="F206" s="259">
        <v>4.2018032073974609</v>
      </c>
      <c r="G206" s="259">
        <v>4.2111048698425293</v>
      </c>
      <c r="H206" s="259">
        <v>4.220393180847168</v>
      </c>
      <c r="I206" s="260">
        <v>3.9929509999999997</v>
      </c>
      <c r="J206" s="260">
        <v>4.0100449999999999</v>
      </c>
      <c r="K206" s="260">
        <v>4.0267739999999996</v>
      </c>
      <c r="L206" s="260">
        <v>4.0431429999999997</v>
      </c>
      <c r="M206" s="260">
        <v>4.0591699999999999</v>
      </c>
      <c r="N206" s="260">
        <v>4.0748769999999999</v>
      </c>
      <c r="O206" s="260">
        <v>4.0902919999999998</v>
      </c>
      <c r="P206" s="260">
        <v>4.1054509999999995</v>
      </c>
      <c r="Q206" s="260">
        <v>4.1203950000000003</v>
      </c>
      <c r="R206" s="260">
        <v>4.135167</v>
      </c>
      <c r="S206" s="260">
        <v>4.1498119999999998</v>
      </c>
      <c r="T206" s="260">
        <v>4.1643729999999994</v>
      </c>
      <c r="U206" s="260">
        <v>4.1788850000000002</v>
      </c>
      <c r="V206" s="260">
        <v>4.1933749999999996</v>
      </c>
      <c r="W206" s="260">
        <v>4.2078519999999999</v>
      </c>
      <c r="X206" s="260">
        <v>4.2223169999999994</v>
      </c>
      <c r="Y206" s="260">
        <v>4.2367679999999996</v>
      </c>
      <c r="Z206" s="260">
        <v>4.2512049999999997</v>
      </c>
      <c r="AA206" s="260">
        <v>4.2656289999999997</v>
      </c>
      <c r="AB206" s="260">
        <v>4.2800389999999995</v>
      </c>
      <c r="AC206" s="260">
        <v>4.294435</v>
      </c>
      <c r="AD206" s="260">
        <v>4.3088169999999995</v>
      </c>
      <c r="AE206" s="260">
        <v>4.3231849999999996</v>
      </c>
      <c r="AF206" s="260">
        <v>4.3375379999999994</v>
      </c>
      <c r="AG206" s="260">
        <v>4.3518759999999999</v>
      </c>
      <c r="AH206" s="260">
        <v>4.3661989999999999</v>
      </c>
      <c r="AI206" s="260">
        <v>4.3805069999999997</v>
      </c>
      <c r="AJ206" s="260">
        <v>4.3948</v>
      </c>
      <c r="AK206" s="260">
        <v>4.4090780000000001</v>
      </c>
      <c r="AL206" s="260">
        <v>4.4233399999999996</v>
      </c>
      <c r="AM206" s="260">
        <v>4.4375859999999996</v>
      </c>
      <c r="AN206" s="260">
        <v>4.451816</v>
      </c>
      <c r="AO206" s="260">
        <v>4.4660289999999998</v>
      </c>
      <c r="AP206" s="260">
        <v>4.4802270000000002</v>
      </c>
      <c r="AQ206" s="260">
        <v>4.494408</v>
      </c>
      <c r="AR206" s="260">
        <v>4.508572</v>
      </c>
      <c r="AS206" s="260">
        <v>4.5227199999999996</v>
      </c>
      <c r="AT206" s="260">
        <v>4.5368499999999994</v>
      </c>
      <c r="AU206" s="260">
        <v>4.5509639999999996</v>
      </c>
      <c r="AV206" s="260">
        <v>4.5650599999999999</v>
      </c>
      <c r="AW206" s="260">
        <v>4.5791389999999996</v>
      </c>
      <c r="AX206" s="260">
        <v>4.5931999999999995</v>
      </c>
      <c r="AY206" s="260">
        <v>4.6072429999999995</v>
      </c>
      <c r="AZ206" s="260">
        <v>4.6212679999999997</v>
      </c>
      <c r="BA206" s="260">
        <v>4.6352760000000002</v>
      </c>
      <c r="BB206" s="260">
        <v>4.6492649999999998</v>
      </c>
      <c r="BC206" s="260">
        <v>4.6632359999999995</v>
      </c>
      <c r="BD206" s="260">
        <v>4.6771880000000001</v>
      </c>
      <c r="BE206" s="260">
        <v>4.691122</v>
      </c>
      <c r="BF206" s="260">
        <v>4.7050359999999998</v>
      </c>
      <c r="BG206" s="260">
        <v>4.7189319999999997</v>
      </c>
      <c r="BH206" s="260">
        <v>4.7328089999999996</v>
      </c>
      <c r="BI206" s="260">
        <v>4.7466669999999995</v>
      </c>
      <c r="BJ206" s="260">
        <v>4.7605050000000002</v>
      </c>
      <c r="BK206" s="260">
        <v>4.774324</v>
      </c>
      <c r="BL206" s="260">
        <v>4.7881229999999997</v>
      </c>
      <c r="BM206" s="260">
        <v>4.8019020000000001</v>
      </c>
      <c r="BN206" s="260">
        <v>4.8156619999999997</v>
      </c>
      <c r="BO206" s="260">
        <v>4.8294009999999998</v>
      </c>
      <c r="BP206" s="260">
        <v>4.843121</v>
      </c>
      <c r="BQ206" s="260">
        <v>4.8568199999999999</v>
      </c>
      <c r="BR206" s="260">
        <v>4.8704989999999997</v>
      </c>
      <c r="BS206" s="260">
        <v>4.8841570000000001</v>
      </c>
      <c r="BT206" s="260">
        <v>4.8977949999999995</v>
      </c>
      <c r="BU206" s="260">
        <v>4.9114119999999994</v>
      </c>
      <c r="BV206" s="260">
        <v>4.9250080000000001</v>
      </c>
      <c r="BW206" s="260">
        <v>4.9385829999999995</v>
      </c>
      <c r="BX206" s="260">
        <v>4.9521369999999996</v>
      </c>
      <c r="BY206" s="260">
        <v>4.9656699999999994</v>
      </c>
      <c r="BZ206" s="260">
        <v>4.9791809999999996</v>
      </c>
      <c r="CA206" s="260">
        <v>4.9926709999999996</v>
      </c>
      <c r="CB206" s="260">
        <v>5.0061399999999994</v>
      </c>
      <c r="CC206" s="260">
        <v>5.0195869999999996</v>
      </c>
      <c r="CD206" s="260">
        <v>5.0330119999999994</v>
      </c>
      <c r="CE206" s="260">
        <v>5.0464159999999998</v>
      </c>
      <c r="CF206" s="260">
        <v>5.0597969999999997</v>
      </c>
      <c r="CG206" s="260">
        <v>5.073156</v>
      </c>
      <c r="CH206" s="260">
        <v>5.0864940000000001</v>
      </c>
    </row>
    <row r="207" spans="1:86" x14ac:dyDescent="0.25">
      <c r="A207" s="170">
        <v>2</v>
      </c>
      <c r="B207" s="170">
        <v>96</v>
      </c>
      <c r="C207" s="259">
        <v>3.8980889320373535</v>
      </c>
      <c r="D207" s="259">
        <v>3.906217098236084</v>
      </c>
      <c r="E207" s="259">
        <v>3.914330005645752</v>
      </c>
      <c r="F207" s="259">
        <v>3.9224269390106201</v>
      </c>
      <c r="G207" s="259">
        <v>3.930509090423584</v>
      </c>
      <c r="H207" s="259">
        <v>3.9385750293731689</v>
      </c>
      <c r="I207" s="260">
        <v>3.701095</v>
      </c>
      <c r="J207" s="260">
        <v>3.7157959999999997</v>
      </c>
      <c r="K207" s="260">
        <v>3.7301819999999997</v>
      </c>
      <c r="L207" s="260">
        <v>3.7442579999999999</v>
      </c>
      <c r="M207" s="260">
        <v>3.7580359999999997</v>
      </c>
      <c r="N207" s="260">
        <v>3.7715339999999999</v>
      </c>
      <c r="O207" s="260">
        <v>3.7847759999999999</v>
      </c>
      <c r="P207" s="260">
        <v>3.7977909999999997</v>
      </c>
      <c r="Q207" s="260">
        <v>3.8106149999999999</v>
      </c>
      <c r="R207" s="260">
        <v>3.823283</v>
      </c>
      <c r="S207" s="260">
        <v>3.8358369999999997</v>
      </c>
      <c r="T207" s="260">
        <v>3.8483149999999999</v>
      </c>
      <c r="U207" s="260">
        <v>3.8607489999999998</v>
      </c>
      <c r="V207" s="260">
        <v>3.8731629999999999</v>
      </c>
      <c r="W207" s="260">
        <v>3.8855679999999997</v>
      </c>
      <c r="X207" s="260">
        <v>3.897961</v>
      </c>
      <c r="Y207" s="260">
        <v>3.9103439999999998</v>
      </c>
      <c r="Z207" s="260">
        <v>3.9227159999999999</v>
      </c>
      <c r="AA207" s="260">
        <v>3.9350779999999999</v>
      </c>
      <c r="AB207" s="260">
        <v>3.9474279999999999</v>
      </c>
      <c r="AC207" s="260">
        <v>3.9597659999999997</v>
      </c>
      <c r="AD207" s="260">
        <v>3.9720939999999998</v>
      </c>
      <c r="AE207" s="260">
        <v>3.98441</v>
      </c>
      <c r="AF207" s="260">
        <v>3.9967139999999999</v>
      </c>
      <c r="AG207" s="260">
        <v>4.0090069999999995</v>
      </c>
      <c r="AH207" s="260">
        <v>4.0212880000000002</v>
      </c>
      <c r="AI207" s="260">
        <v>4.0335559999999999</v>
      </c>
      <c r="AJ207" s="260">
        <v>4.0458129999999999</v>
      </c>
      <c r="AK207" s="260">
        <v>4.0580569999999998</v>
      </c>
      <c r="AL207" s="260">
        <v>4.0702889999999998</v>
      </c>
      <c r="AM207" s="260">
        <v>4.0825079999999998</v>
      </c>
      <c r="AN207" s="260">
        <v>4.0947149999999999</v>
      </c>
      <c r="AO207" s="260">
        <v>4.1069089999999999</v>
      </c>
      <c r="AP207" s="260">
        <v>4.1190899999999999</v>
      </c>
      <c r="AQ207" s="260">
        <v>4.1312579999999999</v>
      </c>
      <c r="AR207" s="260">
        <v>4.1434129999999998</v>
      </c>
      <c r="AS207" s="260">
        <v>4.1555539999999995</v>
      </c>
      <c r="AT207" s="260">
        <v>4.1676820000000001</v>
      </c>
      <c r="AU207" s="260">
        <v>4.1797969999999998</v>
      </c>
      <c r="AV207" s="260">
        <v>4.1918980000000001</v>
      </c>
      <c r="AW207" s="260">
        <v>4.2039849999999994</v>
      </c>
      <c r="AX207" s="260">
        <v>4.2160589999999996</v>
      </c>
      <c r="AY207" s="260">
        <v>4.2281189999999995</v>
      </c>
      <c r="AZ207" s="260">
        <v>4.240164</v>
      </c>
      <c r="BA207" s="260">
        <v>4.2521959999999996</v>
      </c>
      <c r="BB207" s="260">
        <v>4.2642129999999998</v>
      </c>
      <c r="BC207" s="260">
        <v>4.2762159999999998</v>
      </c>
      <c r="BD207" s="260">
        <v>4.2882039999999995</v>
      </c>
      <c r="BE207" s="260">
        <v>4.3001779999999998</v>
      </c>
      <c r="BF207" s="260">
        <v>4.3121369999999999</v>
      </c>
      <c r="BG207" s="260">
        <v>4.3240809999999996</v>
      </c>
      <c r="BH207" s="260">
        <v>4.3360099999999999</v>
      </c>
      <c r="BI207" s="260">
        <v>4.3479239999999999</v>
      </c>
      <c r="BJ207" s="260">
        <v>4.3598239999999997</v>
      </c>
      <c r="BK207" s="260">
        <v>4.3717079999999999</v>
      </c>
      <c r="BL207" s="260">
        <v>4.3835759999999997</v>
      </c>
      <c r="BM207" s="260">
        <v>4.3954300000000002</v>
      </c>
      <c r="BN207" s="260">
        <v>4.4072680000000002</v>
      </c>
      <c r="BO207" s="260">
        <v>4.4190899999999997</v>
      </c>
      <c r="BP207" s="260">
        <v>4.4308959999999997</v>
      </c>
      <c r="BQ207" s="260">
        <v>4.4426869999999994</v>
      </c>
      <c r="BR207" s="260">
        <v>4.4544619999999995</v>
      </c>
      <c r="BS207" s="260">
        <v>4.466221</v>
      </c>
      <c r="BT207" s="260">
        <v>4.4779640000000001</v>
      </c>
      <c r="BU207" s="260">
        <v>4.4896909999999997</v>
      </c>
      <c r="BV207" s="260">
        <v>4.5014019999999997</v>
      </c>
      <c r="BW207" s="260">
        <v>4.513096</v>
      </c>
      <c r="BX207" s="260">
        <v>4.5247739999999999</v>
      </c>
      <c r="BY207" s="260">
        <v>4.5364360000000001</v>
      </c>
      <c r="BZ207" s="260">
        <v>4.5480809999999998</v>
      </c>
      <c r="CA207" s="260">
        <v>4.5597089999999998</v>
      </c>
      <c r="CB207" s="260">
        <v>4.5713210000000002</v>
      </c>
      <c r="CC207" s="260">
        <v>4.5829149999999998</v>
      </c>
      <c r="CD207" s="260">
        <v>4.5944929999999999</v>
      </c>
      <c r="CE207" s="260">
        <v>4.6060539999999994</v>
      </c>
      <c r="CF207" s="260">
        <v>4.6175980000000001</v>
      </c>
      <c r="CG207" s="260">
        <v>4.6291250000000002</v>
      </c>
      <c r="CH207" s="260">
        <v>4.6406349999999996</v>
      </c>
    </row>
    <row r="208" spans="1:86" x14ac:dyDescent="0.25">
      <c r="A208" s="170">
        <v>2</v>
      </c>
      <c r="B208" s="170">
        <v>97</v>
      </c>
      <c r="C208" s="259">
        <v>3.6437849998474121</v>
      </c>
      <c r="D208" s="259">
        <v>3.6504569053649902</v>
      </c>
      <c r="E208" s="259">
        <v>3.6571130752563477</v>
      </c>
      <c r="F208" s="259">
        <v>3.6637508869171143</v>
      </c>
      <c r="G208" s="259">
        <v>3.6703739166259766</v>
      </c>
      <c r="H208" s="259">
        <v>3.6769800186157227</v>
      </c>
      <c r="I208" s="260">
        <v>3.4309129999999999</v>
      </c>
      <c r="J208" s="260">
        <v>3.4433339999999997</v>
      </c>
      <c r="K208" s="260">
        <v>3.4554879999999999</v>
      </c>
      <c r="L208" s="260">
        <v>3.4673789999999998</v>
      </c>
      <c r="M208" s="260">
        <v>3.4790159999999997</v>
      </c>
      <c r="N208" s="260">
        <v>3.4904119999999996</v>
      </c>
      <c r="O208" s="260">
        <v>3.5015879999999999</v>
      </c>
      <c r="P208" s="260">
        <v>3.5125659999999996</v>
      </c>
      <c r="Q208" s="260">
        <v>3.5233759999999998</v>
      </c>
      <c r="R208" s="260">
        <v>3.5340499999999997</v>
      </c>
      <c r="S208" s="260">
        <v>3.5446209999999998</v>
      </c>
      <c r="T208" s="260">
        <v>3.555123</v>
      </c>
      <c r="U208" s="260">
        <v>3.5655869999999998</v>
      </c>
      <c r="V208" s="260">
        <v>3.5760339999999999</v>
      </c>
      <c r="W208" s="260">
        <v>3.5864729999999998</v>
      </c>
      <c r="X208" s="260">
        <v>3.596902</v>
      </c>
      <c r="Y208" s="260">
        <v>3.6073230000000001</v>
      </c>
      <c r="Z208" s="260">
        <v>3.6177349999999997</v>
      </c>
      <c r="AA208" s="260">
        <v>3.628139</v>
      </c>
      <c r="AB208" s="260">
        <v>3.6385329999999998</v>
      </c>
      <c r="AC208" s="260">
        <v>3.6489179999999997</v>
      </c>
      <c r="AD208" s="260">
        <v>3.659294</v>
      </c>
      <c r="AE208" s="260">
        <v>3.6696599999999999</v>
      </c>
      <c r="AF208" s="260">
        <v>3.6800169999999999</v>
      </c>
      <c r="AG208" s="260">
        <v>3.6903649999999999</v>
      </c>
      <c r="AH208" s="260">
        <v>3.7007029999999999</v>
      </c>
      <c r="AI208" s="260">
        <v>3.7110319999999999</v>
      </c>
      <c r="AJ208" s="260">
        <v>3.7213499999999997</v>
      </c>
      <c r="AK208" s="260">
        <v>3.7316589999999996</v>
      </c>
      <c r="AL208" s="260">
        <v>3.7419579999999999</v>
      </c>
      <c r="AM208" s="260">
        <v>3.7522469999999997</v>
      </c>
      <c r="AN208" s="260">
        <v>3.7625259999999998</v>
      </c>
      <c r="AO208" s="260">
        <v>3.7727949999999999</v>
      </c>
      <c r="AP208" s="260">
        <v>3.7830539999999999</v>
      </c>
      <c r="AQ208" s="260">
        <v>3.7933019999999997</v>
      </c>
      <c r="AR208" s="260">
        <v>3.8035399999999999</v>
      </c>
      <c r="AS208" s="260">
        <v>3.8137669999999999</v>
      </c>
      <c r="AT208" s="260">
        <v>3.8239839999999998</v>
      </c>
      <c r="AU208" s="260">
        <v>3.83419</v>
      </c>
      <c r="AV208" s="260">
        <v>3.8443849999999999</v>
      </c>
      <c r="AW208" s="260">
        <v>3.8545699999999998</v>
      </c>
      <c r="AX208" s="260">
        <v>3.864744</v>
      </c>
      <c r="AY208" s="260">
        <v>3.8749069999999999</v>
      </c>
      <c r="AZ208" s="260">
        <v>3.8850579999999999</v>
      </c>
      <c r="BA208" s="260">
        <v>3.8951989999999999</v>
      </c>
      <c r="BB208" s="260">
        <v>3.9053289999999996</v>
      </c>
      <c r="BC208" s="260">
        <v>3.9154469999999999</v>
      </c>
      <c r="BD208" s="260">
        <v>3.925554</v>
      </c>
      <c r="BE208" s="260">
        <v>3.9356489999999997</v>
      </c>
      <c r="BF208" s="260">
        <v>3.9457329999999997</v>
      </c>
      <c r="BG208" s="260">
        <v>3.9558059999999999</v>
      </c>
      <c r="BH208" s="260">
        <v>3.9658669999999998</v>
      </c>
      <c r="BI208" s="260">
        <v>3.9759159999999998</v>
      </c>
      <c r="BJ208" s="260">
        <v>3.985954</v>
      </c>
      <c r="BK208" s="260">
        <v>3.9959799999999999</v>
      </c>
      <c r="BL208" s="260">
        <v>4.0059939999999994</v>
      </c>
      <c r="BM208" s="260">
        <v>4.0159950000000002</v>
      </c>
      <c r="BN208" s="260">
        <v>4.0259849999999995</v>
      </c>
      <c r="BO208" s="260">
        <v>4.0359629999999997</v>
      </c>
      <c r="BP208" s="260">
        <v>4.0459290000000001</v>
      </c>
      <c r="BQ208" s="260">
        <v>4.0558829999999997</v>
      </c>
      <c r="BR208" s="260">
        <v>4.0658240000000001</v>
      </c>
      <c r="BS208" s="260">
        <v>4.0757529999999997</v>
      </c>
      <c r="BT208" s="260">
        <v>4.0856690000000002</v>
      </c>
      <c r="BU208" s="260">
        <v>4.0955729999999999</v>
      </c>
      <c r="BV208" s="260">
        <v>4.1054649999999997</v>
      </c>
      <c r="BW208" s="260">
        <v>4.1153439999999994</v>
      </c>
      <c r="BX208" s="260">
        <v>4.12521</v>
      </c>
      <c r="BY208" s="260">
        <v>4.1350639999999999</v>
      </c>
      <c r="BZ208" s="260">
        <v>4.1449049999999996</v>
      </c>
      <c r="CA208" s="260">
        <v>4.1547330000000002</v>
      </c>
      <c r="CB208" s="260">
        <v>4.1645490000000001</v>
      </c>
      <c r="CC208" s="260">
        <v>4.1743509999999997</v>
      </c>
      <c r="CD208" s="260">
        <v>4.1841409999999994</v>
      </c>
      <c r="CE208" s="260">
        <v>4.1939169999999999</v>
      </c>
      <c r="CF208" s="260">
        <v>4.2036799999999994</v>
      </c>
      <c r="CG208" s="260">
        <v>4.2134299999999998</v>
      </c>
      <c r="CH208" s="260">
        <v>4.2231670000000001</v>
      </c>
    </row>
    <row r="209" spans="1:86" x14ac:dyDescent="0.25">
      <c r="A209" s="170">
        <v>2</v>
      </c>
      <c r="B209" s="170">
        <v>98</v>
      </c>
      <c r="C209" s="259">
        <v>3.3869330883026123</v>
      </c>
      <c r="D209" s="259">
        <v>3.3918850421905518</v>
      </c>
      <c r="E209" s="259">
        <v>3.3968229293823242</v>
      </c>
      <c r="F209" s="259">
        <v>3.4017438888549805</v>
      </c>
      <c r="G209" s="259">
        <v>3.4066510200500488</v>
      </c>
      <c r="H209" s="259">
        <v>3.4115409851074219</v>
      </c>
      <c r="I209" s="260">
        <v>3.1817029999999997</v>
      </c>
      <c r="J209" s="260">
        <v>3.1919659999999999</v>
      </c>
      <c r="K209" s="260">
        <v>3.2020079999999997</v>
      </c>
      <c r="L209" s="260">
        <v>3.2118319999999998</v>
      </c>
      <c r="M209" s="260">
        <v>3.2214449999999997</v>
      </c>
      <c r="N209" s="260">
        <v>3.2308559999999997</v>
      </c>
      <c r="O209" s="260">
        <v>3.2400799999999998</v>
      </c>
      <c r="P209" s="260">
        <v>3.2491379999999999</v>
      </c>
      <c r="Q209" s="260">
        <v>3.258051</v>
      </c>
      <c r="R209" s="260">
        <v>3.266845</v>
      </c>
      <c r="S209" s="260">
        <v>3.27555</v>
      </c>
      <c r="T209" s="260">
        <v>3.2841939999999998</v>
      </c>
      <c r="U209" s="260">
        <v>3.292805</v>
      </c>
      <c r="V209" s="260">
        <v>3.3013999999999997</v>
      </c>
      <c r="W209" s="260">
        <v>3.3099889999999998</v>
      </c>
      <c r="X209" s="260">
        <v>3.3185709999999999</v>
      </c>
      <c r="Y209" s="260">
        <v>3.3271449999999998</v>
      </c>
      <c r="Z209" s="260">
        <v>3.335712</v>
      </c>
      <c r="AA209" s="260">
        <v>3.3442719999999997</v>
      </c>
      <c r="AB209" s="260">
        <v>3.3528249999999997</v>
      </c>
      <c r="AC209" s="260">
        <v>3.36137</v>
      </c>
      <c r="AD209" s="260">
        <v>3.369907</v>
      </c>
      <c r="AE209" s="260">
        <v>3.3784369999999999</v>
      </c>
      <c r="AF209" s="260">
        <v>3.3869590000000001</v>
      </c>
      <c r="AG209" s="260">
        <v>3.3954739999999997</v>
      </c>
      <c r="AH209" s="260">
        <v>3.4039809999999999</v>
      </c>
      <c r="AI209" s="260">
        <v>3.41248</v>
      </c>
      <c r="AJ209" s="260">
        <v>3.4209709999999998</v>
      </c>
      <c r="AK209" s="260">
        <v>3.4294549999999999</v>
      </c>
      <c r="AL209" s="260">
        <v>3.4379299999999997</v>
      </c>
      <c r="AM209" s="260">
        <v>3.4463979999999999</v>
      </c>
      <c r="AN209" s="260">
        <v>3.4548569999999996</v>
      </c>
      <c r="AO209" s="260">
        <v>3.4633080000000001</v>
      </c>
      <c r="AP209" s="260">
        <v>3.4717519999999999</v>
      </c>
      <c r="AQ209" s="260">
        <v>3.4801869999999999</v>
      </c>
      <c r="AR209" s="260">
        <v>3.488613</v>
      </c>
      <c r="AS209" s="260">
        <v>3.4970319999999999</v>
      </c>
      <c r="AT209" s="260">
        <v>3.5054419999999999</v>
      </c>
      <c r="AU209" s="260">
        <v>3.5138439999999997</v>
      </c>
      <c r="AV209" s="260">
        <v>3.5222370000000001</v>
      </c>
      <c r="AW209" s="260">
        <v>3.5306219999999997</v>
      </c>
      <c r="AX209" s="260">
        <v>3.5389979999999999</v>
      </c>
      <c r="AY209" s="260">
        <v>3.5473659999999998</v>
      </c>
      <c r="AZ209" s="260">
        <v>3.5557249999999998</v>
      </c>
      <c r="BA209" s="260">
        <v>3.5640749999999999</v>
      </c>
      <c r="BB209" s="260">
        <v>3.5724169999999997</v>
      </c>
      <c r="BC209" s="260">
        <v>3.5807499999999997</v>
      </c>
      <c r="BD209" s="260">
        <v>3.5890739999999997</v>
      </c>
      <c r="BE209" s="260">
        <v>3.5973889999999997</v>
      </c>
      <c r="BF209" s="260">
        <v>3.6056949999999999</v>
      </c>
      <c r="BG209" s="260">
        <v>3.6139919999999996</v>
      </c>
      <c r="BH209" s="260">
        <v>3.6222809999999996</v>
      </c>
      <c r="BI209" s="260">
        <v>3.63056</v>
      </c>
      <c r="BJ209" s="260">
        <v>3.63883</v>
      </c>
      <c r="BK209" s="260">
        <v>3.6470909999999996</v>
      </c>
      <c r="BL209" s="260">
        <v>3.6553429999999998</v>
      </c>
      <c r="BM209" s="260">
        <v>3.6635849999999999</v>
      </c>
      <c r="BN209" s="260">
        <v>3.6718189999999997</v>
      </c>
      <c r="BO209" s="260">
        <v>3.680043</v>
      </c>
      <c r="BP209" s="260">
        <v>3.6882579999999998</v>
      </c>
      <c r="BQ209" s="260">
        <v>3.6964630000000001</v>
      </c>
      <c r="BR209" s="260">
        <v>3.7046589999999999</v>
      </c>
      <c r="BS209" s="260">
        <v>3.7128459999999999</v>
      </c>
      <c r="BT209" s="260">
        <v>3.7210229999999997</v>
      </c>
      <c r="BU209" s="260">
        <v>3.72919</v>
      </c>
      <c r="BV209" s="260">
        <v>3.7373479999999999</v>
      </c>
      <c r="BW209" s="260">
        <v>3.7454969999999999</v>
      </c>
      <c r="BX209" s="260">
        <v>3.7536349999999996</v>
      </c>
      <c r="BY209" s="260">
        <v>3.7617639999999999</v>
      </c>
      <c r="BZ209" s="260">
        <v>3.7698839999999998</v>
      </c>
      <c r="CA209" s="260">
        <v>3.7779929999999999</v>
      </c>
      <c r="CB209" s="260">
        <v>3.7860929999999997</v>
      </c>
      <c r="CC209" s="260">
        <v>3.7941829999999999</v>
      </c>
      <c r="CD209" s="260">
        <v>3.8022629999999999</v>
      </c>
      <c r="CE209" s="260">
        <v>3.810333</v>
      </c>
      <c r="CF209" s="260">
        <v>3.8183929999999999</v>
      </c>
      <c r="CG209" s="260">
        <v>3.8264429999999998</v>
      </c>
      <c r="CH209" s="260">
        <v>3.8344839999999998</v>
      </c>
    </row>
    <row r="210" spans="1:86" x14ac:dyDescent="0.25">
      <c r="A210" s="170">
        <v>2</v>
      </c>
      <c r="B210" s="170">
        <v>99</v>
      </c>
      <c r="C210" s="259">
        <v>3.1420369148254395</v>
      </c>
      <c r="D210" s="259">
        <v>3.1448359489440918</v>
      </c>
      <c r="E210" s="259">
        <v>3.1476249694824219</v>
      </c>
      <c r="F210" s="259">
        <v>3.1504020690917969</v>
      </c>
      <c r="G210" s="259">
        <v>3.1531679630279541</v>
      </c>
      <c r="H210" s="259">
        <v>3.1559219360351563</v>
      </c>
      <c r="I210" s="260">
        <v>2.952582</v>
      </c>
      <c r="J210" s="260">
        <v>2.96082</v>
      </c>
      <c r="K210" s="260">
        <v>2.96888</v>
      </c>
      <c r="L210" s="260">
        <v>2.9767649999999999</v>
      </c>
      <c r="M210" s="260">
        <v>2.984477</v>
      </c>
      <c r="N210" s="260">
        <v>2.9920260000000001</v>
      </c>
      <c r="O210" s="260">
        <v>2.999422</v>
      </c>
      <c r="P210" s="260">
        <v>3.0066809999999999</v>
      </c>
      <c r="Q210" s="260">
        <v>3.0138199999999999</v>
      </c>
      <c r="R210" s="260">
        <v>3.0208589999999997</v>
      </c>
      <c r="S210" s="260">
        <v>3.0278209999999999</v>
      </c>
      <c r="T210" s="260">
        <v>3.034732</v>
      </c>
      <c r="U210" s="260">
        <v>3.0416129999999999</v>
      </c>
      <c r="V210" s="260">
        <v>3.0484819999999999</v>
      </c>
      <c r="W210" s="260">
        <v>3.0553439999999998</v>
      </c>
      <c r="X210" s="260">
        <v>3.062201</v>
      </c>
      <c r="Y210" s="260">
        <v>3.0690519999999997</v>
      </c>
      <c r="Z210" s="260">
        <v>3.0758959999999997</v>
      </c>
      <c r="AA210" s="260">
        <v>3.082735</v>
      </c>
      <c r="AB210" s="260">
        <v>3.0895679999999999</v>
      </c>
      <c r="AC210" s="260">
        <v>3.0963949999999998</v>
      </c>
      <c r="AD210" s="260">
        <v>3.1032159999999998</v>
      </c>
      <c r="AE210" s="260">
        <v>3.1100300000000001</v>
      </c>
      <c r="AF210" s="260">
        <v>3.1168389999999997</v>
      </c>
      <c r="AG210" s="260">
        <v>3.1236409999999997</v>
      </c>
      <c r="AH210" s="260">
        <v>3.1304369999999997</v>
      </c>
      <c r="AI210" s="260">
        <v>3.1372269999999998</v>
      </c>
      <c r="AJ210" s="260">
        <v>3.1440109999999999</v>
      </c>
      <c r="AK210" s="260">
        <v>3.1507879999999999</v>
      </c>
      <c r="AL210" s="260">
        <v>3.157559</v>
      </c>
      <c r="AM210" s="260">
        <v>3.1643239999999997</v>
      </c>
      <c r="AN210" s="260">
        <v>3.1710819999999997</v>
      </c>
      <c r="AO210" s="260">
        <v>3.1778339999999998</v>
      </c>
      <c r="AP210" s="260">
        <v>3.18458</v>
      </c>
      <c r="AQ210" s="260">
        <v>3.191319</v>
      </c>
      <c r="AR210" s="260">
        <v>3.1980519999999997</v>
      </c>
      <c r="AS210" s="260">
        <v>3.2047779999999997</v>
      </c>
      <c r="AT210" s="260">
        <v>3.211497</v>
      </c>
      <c r="AU210" s="260">
        <v>3.21821</v>
      </c>
      <c r="AV210" s="260">
        <v>3.224917</v>
      </c>
      <c r="AW210" s="260">
        <v>3.2316159999999998</v>
      </c>
      <c r="AX210" s="260">
        <v>3.2383089999999997</v>
      </c>
      <c r="AY210" s="260">
        <v>3.244996</v>
      </c>
      <c r="AZ210" s="260">
        <v>3.2516759999999998</v>
      </c>
      <c r="BA210" s="260">
        <v>3.2583489999999999</v>
      </c>
      <c r="BB210" s="260">
        <v>3.265015</v>
      </c>
      <c r="BC210" s="260">
        <v>3.271674</v>
      </c>
      <c r="BD210" s="260">
        <v>3.278327</v>
      </c>
      <c r="BE210" s="260">
        <v>3.2849729999999999</v>
      </c>
      <c r="BF210" s="260">
        <v>3.2916119999999998</v>
      </c>
      <c r="BG210" s="260">
        <v>3.298244</v>
      </c>
      <c r="BH210" s="260">
        <v>3.3048690000000001</v>
      </c>
      <c r="BI210" s="260">
        <v>3.3114879999999998</v>
      </c>
      <c r="BJ210" s="260">
        <v>3.3180989999999997</v>
      </c>
      <c r="BK210" s="260">
        <v>3.324703</v>
      </c>
      <c r="BL210" s="260">
        <v>3.3313009999999998</v>
      </c>
      <c r="BM210" s="260">
        <v>3.3378909999999999</v>
      </c>
      <c r="BN210" s="260">
        <v>3.3444739999999999</v>
      </c>
      <c r="BO210" s="260">
        <v>3.351051</v>
      </c>
      <c r="BP210" s="260">
        <v>3.3576199999999998</v>
      </c>
      <c r="BQ210" s="260">
        <v>3.364182</v>
      </c>
      <c r="BR210" s="260">
        <v>3.3707369999999997</v>
      </c>
      <c r="BS210" s="260">
        <v>3.3772849999999996</v>
      </c>
      <c r="BT210" s="260">
        <v>3.3838249999999999</v>
      </c>
      <c r="BU210" s="260">
        <v>3.3903589999999997</v>
      </c>
      <c r="BV210" s="260">
        <v>3.3968849999999997</v>
      </c>
      <c r="BW210" s="260">
        <v>3.4034039999999997</v>
      </c>
      <c r="BX210" s="260">
        <v>3.4099159999999999</v>
      </c>
      <c r="BY210" s="260">
        <v>3.41642</v>
      </c>
      <c r="BZ210" s="260">
        <v>3.422917</v>
      </c>
      <c r="CA210" s="260">
        <v>3.4294069999999999</v>
      </c>
      <c r="CB210" s="260">
        <v>3.4358899999999997</v>
      </c>
      <c r="CC210" s="260">
        <v>3.4423649999999997</v>
      </c>
      <c r="CD210" s="260">
        <v>3.4488319999999999</v>
      </c>
      <c r="CE210" s="260">
        <v>3.4552929999999997</v>
      </c>
      <c r="CF210" s="260">
        <v>3.4617459999999998</v>
      </c>
      <c r="CG210" s="260">
        <v>3.468191</v>
      </c>
      <c r="CH210" s="260">
        <v>3.4746289999999997</v>
      </c>
    </row>
    <row r="211" spans="1:86" x14ac:dyDescent="0.25">
      <c r="A211" s="170">
        <v>2</v>
      </c>
      <c r="B211" s="170">
        <v>100</v>
      </c>
      <c r="C211" s="259">
        <v>2.9078850746154785</v>
      </c>
      <c r="D211" s="259">
        <v>2.9078850746154785</v>
      </c>
      <c r="E211" s="259">
        <v>2.9078850746154785</v>
      </c>
      <c r="F211" s="259">
        <v>2.9078850746154785</v>
      </c>
      <c r="G211" s="259">
        <v>2.9078850746154785</v>
      </c>
      <c r="H211" s="259">
        <v>2.9078850746154785</v>
      </c>
      <c r="I211" s="260">
        <v>2.7424909999999998</v>
      </c>
      <c r="J211" s="260">
        <v>2.7488429999999999</v>
      </c>
      <c r="K211" s="260">
        <v>2.7550589999999997</v>
      </c>
      <c r="L211" s="260">
        <v>2.7611399999999997</v>
      </c>
      <c r="M211" s="260">
        <v>2.7670870000000001</v>
      </c>
      <c r="N211" s="260">
        <v>2.7729059999999999</v>
      </c>
      <c r="O211" s="260">
        <v>2.7786049999999998</v>
      </c>
      <c r="P211" s="260">
        <v>2.784195</v>
      </c>
      <c r="Q211" s="260">
        <v>2.7896890000000001</v>
      </c>
      <c r="R211" s="260">
        <v>2.7951029999999997</v>
      </c>
      <c r="S211" s="260">
        <v>2.8004549999999999</v>
      </c>
      <c r="T211" s="260">
        <v>2.8057639999999999</v>
      </c>
      <c r="U211" s="260">
        <v>2.8110469999999999</v>
      </c>
      <c r="V211" s="260">
        <v>2.8163199999999997</v>
      </c>
      <c r="W211" s="260">
        <v>2.8215879999999998</v>
      </c>
      <c r="X211" s="260">
        <v>2.8268519999999997</v>
      </c>
      <c r="Y211" s="260">
        <v>2.8321109999999998</v>
      </c>
      <c r="Z211" s="260">
        <v>2.8373649999999997</v>
      </c>
      <c r="AA211" s="260">
        <v>2.8426139999999998</v>
      </c>
      <c r="AB211" s="260">
        <v>2.8478589999999997</v>
      </c>
      <c r="AC211" s="260">
        <v>2.8530979999999997</v>
      </c>
      <c r="AD211" s="260">
        <v>2.8583339999999997</v>
      </c>
      <c r="AE211" s="260">
        <v>2.8635639999999998</v>
      </c>
      <c r="AF211" s="260">
        <v>2.868789</v>
      </c>
      <c r="AG211" s="260">
        <v>2.8740099999999997</v>
      </c>
      <c r="AH211" s="260">
        <v>2.8792260000000001</v>
      </c>
      <c r="AI211" s="260">
        <v>2.8844369999999997</v>
      </c>
      <c r="AJ211" s="260">
        <v>2.889643</v>
      </c>
      <c r="AK211" s="260">
        <v>2.894844</v>
      </c>
      <c r="AL211" s="260">
        <v>2.9000399999999997</v>
      </c>
      <c r="AM211" s="260">
        <v>2.9052319999999998</v>
      </c>
      <c r="AN211" s="260">
        <v>2.9104179999999999</v>
      </c>
      <c r="AO211" s="260">
        <v>2.9156</v>
      </c>
      <c r="AP211" s="260">
        <v>2.9207769999999997</v>
      </c>
      <c r="AQ211" s="260">
        <v>2.925948</v>
      </c>
      <c r="AR211" s="260">
        <v>2.9311149999999997</v>
      </c>
      <c r="AS211" s="260">
        <v>2.936277</v>
      </c>
      <c r="AT211" s="260">
        <v>2.9414339999999997</v>
      </c>
      <c r="AU211" s="260">
        <v>2.9465849999999998</v>
      </c>
      <c r="AV211" s="260">
        <v>2.9517319999999998</v>
      </c>
      <c r="AW211" s="260">
        <v>2.956874</v>
      </c>
      <c r="AX211" s="260">
        <v>2.9620109999999999</v>
      </c>
      <c r="AY211" s="260">
        <v>2.9671419999999999</v>
      </c>
      <c r="AZ211" s="260">
        <v>2.9722689999999998</v>
      </c>
      <c r="BA211" s="260">
        <v>2.9773899999999998</v>
      </c>
      <c r="BB211" s="260">
        <v>2.982507</v>
      </c>
      <c r="BC211" s="260">
        <v>2.9876179999999999</v>
      </c>
      <c r="BD211" s="260">
        <v>2.9927239999999999</v>
      </c>
      <c r="BE211" s="260">
        <v>2.9978259999999999</v>
      </c>
      <c r="BF211" s="260">
        <v>3.0029209999999997</v>
      </c>
      <c r="BG211" s="260">
        <v>3.0080119999999999</v>
      </c>
      <c r="BH211" s="260">
        <v>3.0130979999999998</v>
      </c>
      <c r="BI211" s="260">
        <v>3.0181779999999998</v>
      </c>
      <c r="BJ211" s="260">
        <v>3.0232539999999997</v>
      </c>
      <c r="BK211" s="260">
        <v>3.028324</v>
      </c>
      <c r="BL211" s="260">
        <v>3.0333889999999997</v>
      </c>
      <c r="BM211" s="260">
        <v>3.038449</v>
      </c>
      <c r="BN211" s="260">
        <v>3.0435029999999998</v>
      </c>
      <c r="BO211" s="260">
        <v>3.0485519999999999</v>
      </c>
      <c r="BP211" s="260">
        <v>3.0535959999999998</v>
      </c>
      <c r="BQ211" s="260">
        <v>3.0586349999999998</v>
      </c>
      <c r="BR211" s="260">
        <v>3.063669</v>
      </c>
      <c r="BS211" s="260">
        <v>3.0686969999999998</v>
      </c>
      <c r="BT211" s="260">
        <v>3.0737199999999998</v>
      </c>
      <c r="BU211" s="260">
        <v>3.078738</v>
      </c>
      <c r="BV211" s="260">
        <v>3.0837499999999998</v>
      </c>
      <c r="BW211" s="260">
        <v>3.0887569999999998</v>
      </c>
      <c r="BX211" s="260">
        <v>3.0937589999999999</v>
      </c>
      <c r="BY211" s="260">
        <v>3.0987559999999998</v>
      </c>
      <c r="BZ211" s="260">
        <v>3.1037469999999998</v>
      </c>
      <c r="CA211" s="260">
        <v>3.108733</v>
      </c>
      <c r="CB211" s="260">
        <v>3.1137129999999997</v>
      </c>
      <c r="CC211" s="260">
        <v>3.1186879999999997</v>
      </c>
      <c r="CD211" s="260">
        <v>3.1236579999999998</v>
      </c>
      <c r="CE211" s="260">
        <v>3.128622</v>
      </c>
      <c r="CF211" s="260">
        <v>3.1335809999999999</v>
      </c>
      <c r="CG211" s="260">
        <v>3.1385339999999999</v>
      </c>
      <c r="CH211" s="260">
        <v>3.1434829999999998</v>
      </c>
    </row>
    <row r="212" spans="1:86" x14ac:dyDescent="0.25">
      <c r="A212" s="170">
        <v>2</v>
      </c>
      <c r="B212" s="170">
        <v>101</v>
      </c>
      <c r="C212" s="259">
        <v>2.706096887588501</v>
      </c>
      <c r="D212" s="259">
        <v>2.706096887588501</v>
      </c>
      <c r="E212" s="259">
        <v>2.706096887588501</v>
      </c>
      <c r="F212" s="259">
        <v>2.706096887588501</v>
      </c>
      <c r="G212" s="259">
        <v>2.706096887588501</v>
      </c>
      <c r="H212" s="259">
        <v>2.706096887588501</v>
      </c>
      <c r="I212" s="260">
        <v>2.5501499999999999</v>
      </c>
      <c r="J212" s="260">
        <v>2.5547719999999998</v>
      </c>
      <c r="K212" s="260">
        <v>2.5592950000000001</v>
      </c>
      <c r="L212" s="260">
        <v>2.5637179999999997</v>
      </c>
      <c r="M212" s="260">
        <v>2.568044</v>
      </c>
      <c r="N212" s="260">
        <v>2.5722769999999997</v>
      </c>
      <c r="O212" s="260">
        <v>2.5764199999999997</v>
      </c>
      <c r="P212" s="260">
        <v>2.5804819999999999</v>
      </c>
      <c r="Q212" s="260">
        <v>2.584473</v>
      </c>
      <c r="R212" s="260">
        <v>2.5884019999999999</v>
      </c>
      <c r="S212" s="260">
        <v>2.5922829999999997</v>
      </c>
      <c r="T212" s="260">
        <v>2.59613</v>
      </c>
      <c r="U212" s="260">
        <v>2.5999569999999999</v>
      </c>
      <c r="V212" s="260">
        <v>2.6037759999999999</v>
      </c>
      <c r="W212" s="260">
        <v>2.6075909999999998</v>
      </c>
      <c r="X212" s="260">
        <v>2.6114039999999998</v>
      </c>
      <c r="Y212" s="260">
        <v>2.6152120000000001</v>
      </c>
      <c r="Z212" s="260">
        <v>2.6190169999999999</v>
      </c>
      <c r="AA212" s="260">
        <v>2.6228189999999998</v>
      </c>
      <c r="AB212" s="260">
        <v>2.626617</v>
      </c>
      <c r="AC212" s="260">
        <v>2.6304110000000001</v>
      </c>
      <c r="AD212" s="260">
        <v>2.6342019999999997</v>
      </c>
      <c r="AE212" s="260">
        <v>2.6379899999999998</v>
      </c>
      <c r="AF212" s="260">
        <v>2.6417729999999997</v>
      </c>
      <c r="AG212" s="260">
        <v>2.6455539999999997</v>
      </c>
      <c r="AH212" s="260">
        <v>2.6493309999999997</v>
      </c>
      <c r="AI212" s="260">
        <v>2.6531039999999999</v>
      </c>
      <c r="AJ212" s="260">
        <v>2.656873</v>
      </c>
      <c r="AK212" s="260">
        <v>2.6606399999999999</v>
      </c>
      <c r="AL212" s="260">
        <v>2.6644019999999999</v>
      </c>
      <c r="AM212" s="260">
        <v>2.668161</v>
      </c>
      <c r="AN212" s="260">
        <v>2.6719170000000001</v>
      </c>
      <c r="AO212" s="260">
        <v>2.6756690000000001</v>
      </c>
      <c r="AP212" s="260">
        <v>2.6794169999999999</v>
      </c>
      <c r="AQ212" s="260">
        <v>2.6831619999999998</v>
      </c>
      <c r="AR212" s="260">
        <v>2.686903</v>
      </c>
      <c r="AS212" s="260">
        <v>2.6906399999999997</v>
      </c>
      <c r="AT212" s="260">
        <v>2.6943739999999998</v>
      </c>
      <c r="AU212" s="260">
        <v>2.6981039999999998</v>
      </c>
      <c r="AV212" s="260">
        <v>2.7018309999999999</v>
      </c>
      <c r="AW212" s="260">
        <v>2.7055539999999998</v>
      </c>
      <c r="AX212" s="260">
        <v>2.7092739999999997</v>
      </c>
      <c r="AY212" s="260">
        <v>2.71299</v>
      </c>
      <c r="AZ212" s="260">
        <v>2.7167019999999997</v>
      </c>
      <c r="BA212" s="260">
        <v>2.7204109999999999</v>
      </c>
      <c r="BB212" s="260">
        <v>2.724116</v>
      </c>
      <c r="BC212" s="260">
        <v>2.7278169999999999</v>
      </c>
      <c r="BD212" s="260">
        <v>2.7315149999999999</v>
      </c>
      <c r="BE212" s="260">
        <v>2.7352089999999998</v>
      </c>
      <c r="BF212" s="260">
        <v>2.7388999999999997</v>
      </c>
      <c r="BG212" s="260">
        <v>2.7425859999999997</v>
      </c>
      <c r="BH212" s="260">
        <v>2.74627</v>
      </c>
      <c r="BI212" s="260">
        <v>2.749949</v>
      </c>
      <c r="BJ212" s="260">
        <v>2.753625</v>
      </c>
      <c r="BK212" s="260">
        <v>2.7572969999999999</v>
      </c>
      <c r="BL212" s="260">
        <v>2.7609659999999998</v>
      </c>
      <c r="BM212" s="260">
        <v>2.7646310000000001</v>
      </c>
      <c r="BN212" s="260">
        <v>2.7682919999999998</v>
      </c>
      <c r="BO212" s="260">
        <v>2.7719499999999999</v>
      </c>
      <c r="BP212" s="260">
        <v>2.775604</v>
      </c>
      <c r="BQ212" s="260">
        <v>2.7792539999999999</v>
      </c>
      <c r="BR212" s="260">
        <v>2.7829009999999998</v>
      </c>
      <c r="BS212" s="260">
        <v>2.7865439999999997</v>
      </c>
      <c r="BT212" s="260">
        <v>2.7901829999999999</v>
      </c>
      <c r="BU212" s="260">
        <v>2.7938190000000001</v>
      </c>
      <c r="BV212" s="260">
        <v>2.7974509999999997</v>
      </c>
      <c r="BW212" s="260">
        <v>2.8010789999999997</v>
      </c>
      <c r="BX212" s="260">
        <v>2.8047029999999999</v>
      </c>
      <c r="BY212" s="260">
        <v>2.8083239999999998</v>
      </c>
      <c r="BZ212" s="260">
        <v>2.811941</v>
      </c>
      <c r="CA212" s="260">
        <v>2.8155549999999998</v>
      </c>
      <c r="CB212" s="260">
        <v>2.8191639999999998</v>
      </c>
      <c r="CC212" s="260">
        <v>2.8227699999999998</v>
      </c>
      <c r="CD212" s="260">
        <v>2.8263729999999998</v>
      </c>
      <c r="CE212" s="260">
        <v>2.829971</v>
      </c>
      <c r="CF212" s="260">
        <v>2.8335659999999998</v>
      </c>
      <c r="CG212" s="260">
        <v>2.8371580000000001</v>
      </c>
      <c r="CH212" s="260">
        <v>2.8407450000000001</v>
      </c>
    </row>
    <row r="213" spans="1:86" x14ac:dyDescent="0.25">
      <c r="A213" s="170">
        <v>2</v>
      </c>
      <c r="B213" s="170">
        <v>102</v>
      </c>
      <c r="C213" s="259">
        <v>2.5157029628753662</v>
      </c>
      <c r="D213" s="259">
        <v>2.5157029628753662</v>
      </c>
      <c r="E213" s="259">
        <v>2.5157029628753662</v>
      </c>
      <c r="F213" s="259">
        <v>2.5157029628753662</v>
      </c>
      <c r="G213" s="259">
        <v>2.5157029628753662</v>
      </c>
      <c r="H213" s="259">
        <v>2.5157029628753662</v>
      </c>
      <c r="I213" s="260">
        <v>2.373996</v>
      </c>
      <c r="J213" s="260">
        <v>2.3770609999999999</v>
      </c>
      <c r="K213" s="260">
        <v>2.380061</v>
      </c>
      <c r="L213" s="260">
        <v>2.3829949999999998</v>
      </c>
      <c r="M213" s="260">
        <v>2.3858649999999999</v>
      </c>
      <c r="N213" s="260">
        <v>2.388671</v>
      </c>
      <c r="O213" s="260">
        <v>2.391419</v>
      </c>
      <c r="P213" s="260">
        <v>2.3941110000000001</v>
      </c>
      <c r="Q213" s="260">
        <v>2.3967529999999999</v>
      </c>
      <c r="R213" s="260">
        <v>2.3993539999999998</v>
      </c>
      <c r="S213" s="260">
        <v>2.4019219999999999</v>
      </c>
      <c r="T213" s="260">
        <v>2.4044629999999998</v>
      </c>
      <c r="U213" s="260">
        <v>2.4069910000000001</v>
      </c>
      <c r="V213" s="260">
        <v>2.409513</v>
      </c>
      <c r="W213" s="260">
        <v>2.412032</v>
      </c>
      <c r="X213" s="260">
        <v>2.4145490000000001</v>
      </c>
      <c r="Y213" s="260">
        <v>2.4170639999999999</v>
      </c>
      <c r="Z213" s="260">
        <v>2.4195769999999999</v>
      </c>
      <c r="AA213" s="260">
        <v>2.4220869999999999</v>
      </c>
      <c r="AB213" s="260">
        <v>2.4245939999999999</v>
      </c>
      <c r="AC213" s="260">
        <v>2.4270999999999998</v>
      </c>
      <c r="AD213" s="260">
        <v>2.4296029999999997</v>
      </c>
      <c r="AE213" s="260">
        <v>2.4321039999999998</v>
      </c>
      <c r="AF213" s="260">
        <v>2.4346030000000001</v>
      </c>
      <c r="AG213" s="260">
        <v>2.4370989999999999</v>
      </c>
      <c r="AH213" s="260">
        <v>2.4395929999999999</v>
      </c>
      <c r="AI213" s="260">
        <v>2.4420850000000001</v>
      </c>
      <c r="AJ213" s="260">
        <v>2.4445739999999998</v>
      </c>
      <c r="AK213" s="260">
        <v>2.4470609999999997</v>
      </c>
      <c r="AL213" s="260">
        <v>2.4495459999999998</v>
      </c>
      <c r="AM213" s="260">
        <v>2.4520279999999999</v>
      </c>
      <c r="AN213" s="260">
        <v>2.4545079999999997</v>
      </c>
      <c r="AO213" s="260">
        <v>2.4569859999999997</v>
      </c>
      <c r="AP213" s="260">
        <v>2.4594619999999998</v>
      </c>
      <c r="AQ213" s="260">
        <v>2.461935</v>
      </c>
      <c r="AR213" s="260">
        <v>2.4644059999999999</v>
      </c>
      <c r="AS213" s="260">
        <v>2.4668749999999999</v>
      </c>
      <c r="AT213" s="260">
        <v>2.469341</v>
      </c>
      <c r="AU213" s="260">
        <v>2.4718049999999998</v>
      </c>
      <c r="AV213" s="260">
        <v>2.4742660000000001</v>
      </c>
      <c r="AW213" s="260">
        <v>2.4767259999999998</v>
      </c>
      <c r="AX213" s="260">
        <v>2.4791829999999999</v>
      </c>
      <c r="AY213" s="260">
        <v>2.4816379999999998</v>
      </c>
      <c r="AZ213" s="260">
        <v>2.4840899999999997</v>
      </c>
      <c r="BA213" s="260">
        <v>2.4865399999999998</v>
      </c>
      <c r="BB213" s="260">
        <v>2.488988</v>
      </c>
      <c r="BC213" s="260">
        <v>2.4914339999999999</v>
      </c>
      <c r="BD213" s="260">
        <v>2.4938769999999999</v>
      </c>
      <c r="BE213" s="260">
        <v>2.496318</v>
      </c>
      <c r="BF213" s="260">
        <v>2.4987559999999998</v>
      </c>
      <c r="BG213" s="260">
        <v>2.5011929999999998</v>
      </c>
      <c r="BH213" s="260">
        <v>2.5036269999999998</v>
      </c>
      <c r="BI213" s="260">
        <v>2.5060579999999999</v>
      </c>
      <c r="BJ213" s="260">
        <v>2.5084879999999998</v>
      </c>
      <c r="BK213" s="260">
        <v>2.5109149999999998</v>
      </c>
      <c r="BL213" s="260">
        <v>2.5133399999999999</v>
      </c>
      <c r="BM213" s="260">
        <v>2.5157620000000001</v>
      </c>
      <c r="BN213" s="260">
        <v>2.5181819999999999</v>
      </c>
      <c r="BO213" s="260">
        <v>2.5206</v>
      </c>
      <c r="BP213" s="260">
        <v>2.5230159999999997</v>
      </c>
      <c r="BQ213" s="260">
        <v>2.5254289999999999</v>
      </c>
      <c r="BR213" s="260">
        <v>2.5278399999999999</v>
      </c>
      <c r="BS213" s="260">
        <v>2.5302479999999998</v>
      </c>
      <c r="BT213" s="260">
        <v>2.5326550000000001</v>
      </c>
      <c r="BU213" s="260">
        <v>2.535059</v>
      </c>
      <c r="BV213" s="260">
        <v>2.5374599999999998</v>
      </c>
      <c r="BW213" s="260">
        <v>2.53986</v>
      </c>
      <c r="BX213" s="260">
        <v>2.5422569999999998</v>
      </c>
      <c r="BY213" s="260">
        <v>2.5446519999999997</v>
      </c>
      <c r="BZ213" s="260">
        <v>2.5470440000000001</v>
      </c>
      <c r="CA213" s="260">
        <v>2.5494339999999998</v>
      </c>
      <c r="CB213" s="260">
        <v>2.551822</v>
      </c>
      <c r="CC213" s="260">
        <v>2.554208</v>
      </c>
      <c r="CD213" s="260">
        <v>2.5565910000000001</v>
      </c>
      <c r="CE213" s="260">
        <v>2.5589719999999998</v>
      </c>
      <c r="CF213" s="260">
        <v>2.5613509999999997</v>
      </c>
      <c r="CG213" s="260">
        <v>2.5637270000000001</v>
      </c>
      <c r="CH213" s="260">
        <v>2.5661009999999997</v>
      </c>
    </row>
    <row r="214" spans="1:86" x14ac:dyDescent="0.25">
      <c r="A214" s="170">
        <v>2</v>
      </c>
      <c r="B214" s="170">
        <v>103</v>
      </c>
      <c r="C214" s="259">
        <v>2.3351550102233887</v>
      </c>
      <c r="D214" s="259">
        <v>2.3351550102233887</v>
      </c>
      <c r="E214" s="259">
        <v>2.3351550102233887</v>
      </c>
      <c r="F214" s="259">
        <v>2.3351550102233887</v>
      </c>
      <c r="G214" s="259">
        <v>2.3351550102233887</v>
      </c>
      <c r="H214" s="259">
        <v>2.3351550102233887</v>
      </c>
      <c r="I214" s="260">
        <v>2.2120219999999997</v>
      </c>
      <c r="J214" s="260">
        <v>2.2137419999999999</v>
      </c>
      <c r="K214" s="260">
        <v>2.2154249999999998</v>
      </c>
      <c r="L214" s="260">
        <v>2.2170730000000001</v>
      </c>
      <c r="M214" s="260">
        <v>2.218683</v>
      </c>
      <c r="N214" s="260">
        <v>2.2202579999999998</v>
      </c>
      <c r="O214" s="260">
        <v>2.2218</v>
      </c>
      <c r="P214" s="260">
        <v>2.2233100000000001</v>
      </c>
      <c r="Q214" s="260">
        <v>2.2247919999999999</v>
      </c>
      <c r="R214" s="260">
        <v>2.2262499999999998</v>
      </c>
      <c r="S214" s="260">
        <v>2.2276880000000001</v>
      </c>
      <c r="T214" s="260">
        <v>2.2291110000000001</v>
      </c>
      <c r="U214" s="260">
        <v>2.230524</v>
      </c>
      <c r="V214" s="260">
        <v>2.2319329999999997</v>
      </c>
      <c r="W214" s="260">
        <v>2.2333419999999999</v>
      </c>
      <c r="X214" s="260">
        <v>2.2347489999999999</v>
      </c>
      <c r="Y214" s="260">
        <v>2.2361550000000001</v>
      </c>
      <c r="Z214" s="260">
        <v>2.2375590000000001</v>
      </c>
      <c r="AA214" s="260">
        <v>2.238963</v>
      </c>
      <c r="AB214" s="260">
        <v>2.2403649999999997</v>
      </c>
      <c r="AC214" s="260">
        <v>2.2417659999999997</v>
      </c>
      <c r="AD214" s="260">
        <v>2.243166</v>
      </c>
      <c r="AE214" s="260">
        <v>2.2445649999999997</v>
      </c>
      <c r="AF214" s="260">
        <v>2.2459629999999997</v>
      </c>
      <c r="AG214" s="260">
        <v>2.2473589999999999</v>
      </c>
      <c r="AH214" s="260">
        <v>2.2487539999999999</v>
      </c>
      <c r="AI214" s="260">
        <v>2.2501479999999998</v>
      </c>
      <c r="AJ214" s="260">
        <v>2.251541</v>
      </c>
      <c r="AK214" s="260">
        <v>2.2529330000000001</v>
      </c>
      <c r="AL214" s="260">
        <v>2.2543229999999999</v>
      </c>
      <c r="AM214" s="260">
        <v>2.2557130000000001</v>
      </c>
      <c r="AN214" s="260">
        <v>2.257101</v>
      </c>
      <c r="AO214" s="260">
        <v>2.2584879999999998</v>
      </c>
      <c r="AP214" s="260">
        <v>2.2598729999999998</v>
      </c>
      <c r="AQ214" s="260">
        <v>2.2612579999999998</v>
      </c>
      <c r="AR214" s="260">
        <v>2.2626409999999999</v>
      </c>
      <c r="AS214" s="260">
        <v>2.2640229999999999</v>
      </c>
      <c r="AT214" s="260">
        <v>2.2654039999999998</v>
      </c>
      <c r="AU214" s="260">
        <v>2.2667839999999999</v>
      </c>
      <c r="AV214" s="260">
        <v>2.2681629999999999</v>
      </c>
      <c r="AW214" s="260">
        <v>2.2695400000000001</v>
      </c>
      <c r="AX214" s="260">
        <v>2.2709169999999999</v>
      </c>
      <c r="AY214" s="260">
        <v>2.2722919999999998</v>
      </c>
      <c r="AZ214" s="260">
        <v>2.273666</v>
      </c>
      <c r="BA214" s="260">
        <v>2.2750379999999999</v>
      </c>
      <c r="BB214" s="260">
        <v>2.2764099999999998</v>
      </c>
      <c r="BC214" s="260">
        <v>2.2777799999999999</v>
      </c>
      <c r="BD214" s="260">
        <v>2.27915</v>
      </c>
      <c r="BE214" s="260">
        <v>2.2805179999999998</v>
      </c>
      <c r="BF214" s="260">
        <v>2.2818849999999999</v>
      </c>
      <c r="BG214" s="260">
        <v>2.2832499999999998</v>
      </c>
      <c r="BH214" s="260">
        <v>2.2846150000000001</v>
      </c>
      <c r="BI214" s="260">
        <v>2.2859780000000001</v>
      </c>
      <c r="BJ214" s="260">
        <v>2.2873410000000001</v>
      </c>
      <c r="BK214" s="260">
        <v>2.2887019999999998</v>
      </c>
      <c r="BL214" s="260">
        <v>2.2900609999999997</v>
      </c>
      <c r="BM214" s="260">
        <v>2.29142</v>
      </c>
      <c r="BN214" s="260">
        <v>2.2927779999999998</v>
      </c>
      <c r="BO214" s="260">
        <v>2.2941340000000001</v>
      </c>
      <c r="BP214" s="260">
        <v>2.2954889999999999</v>
      </c>
      <c r="BQ214" s="260">
        <v>2.296843</v>
      </c>
      <c r="BR214" s="260">
        <v>2.2981959999999999</v>
      </c>
      <c r="BS214" s="260">
        <v>2.2995479999999997</v>
      </c>
      <c r="BT214" s="260">
        <v>2.3008989999999998</v>
      </c>
      <c r="BU214" s="260">
        <v>2.3022480000000001</v>
      </c>
      <c r="BV214" s="260">
        <v>2.3035959999999998</v>
      </c>
      <c r="BW214" s="260">
        <v>2.3049429999999997</v>
      </c>
      <c r="BX214" s="260">
        <v>2.306289</v>
      </c>
      <c r="BY214" s="260">
        <v>2.3076339999999997</v>
      </c>
      <c r="BZ214" s="260">
        <v>2.3089779999999998</v>
      </c>
      <c r="CA214" s="260">
        <v>2.3103199999999999</v>
      </c>
      <c r="CB214" s="260">
        <v>2.3116620000000001</v>
      </c>
      <c r="CC214" s="260">
        <v>2.313002</v>
      </c>
      <c r="CD214" s="260">
        <v>2.3143409999999998</v>
      </c>
      <c r="CE214" s="260">
        <v>2.3156789999999998</v>
      </c>
      <c r="CF214" s="260">
        <v>2.317015</v>
      </c>
      <c r="CG214" s="260">
        <v>2.3183509999999998</v>
      </c>
      <c r="CH214" s="260">
        <v>2.3196849999999998</v>
      </c>
    </row>
    <row r="215" spans="1:86" x14ac:dyDescent="0.25">
      <c r="A215" s="170">
        <v>2</v>
      </c>
      <c r="B215" s="170">
        <v>104</v>
      </c>
      <c r="C215" s="259">
        <v>2.1620550155639648</v>
      </c>
      <c r="D215" s="259">
        <v>2.1620550155639648</v>
      </c>
      <c r="E215" s="259">
        <v>2.1620550155639648</v>
      </c>
      <c r="F215" s="259">
        <v>2.1620550155639648</v>
      </c>
      <c r="G215" s="259">
        <v>2.1620550155639648</v>
      </c>
      <c r="H215" s="259">
        <v>2.1620550155639648</v>
      </c>
      <c r="I215" s="260">
        <v>2.061439</v>
      </c>
      <c r="J215" s="260">
        <v>2.0620940000000001</v>
      </c>
      <c r="K215" s="260">
        <v>2.062735</v>
      </c>
      <c r="L215" s="260">
        <v>2.0633619999999997</v>
      </c>
      <c r="M215" s="260">
        <v>2.0639759999999998</v>
      </c>
      <c r="N215" s="260">
        <v>2.0645769999999999</v>
      </c>
      <c r="O215" s="260">
        <v>2.0651649999999999</v>
      </c>
      <c r="P215" s="260">
        <v>2.0657399999999999</v>
      </c>
      <c r="Q215" s="260">
        <v>2.0663049999999998</v>
      </c>
      <c r="R215" s="260">
        <v>2.0668599999999997</v>
      </c>
      <c r="S215" s="260">
        <v>2.0674069999999998</v>
      </c>
      <c r="T215" s="260">
        <v>2.0679479999999999</v>
      </c>
      <c r="U215" s="260">
        <v>2.0684849999999999</v>
      </c>
      <c r="V215" s="260">
        <v>2.0690200000000001</v>
      </c>
      <c r="W215" s="260">
        <v>2.0695549999999998</v>
      </c>
      <c r="X215" s="260">
        <v>2.07009</v>
      </c>
      <c r="Y215" s="260">
        <v>2.0706249999999997</v>
      </c>
      <c r="Z215" s="260">
        <v>2.0711589999999998</v>
      </c>
      <c r="AA215" s="260">
        <v>2.0716920000000001</v>
      </c>
      <c r="AB215" s="260">
        <v>2.0722260000000001</v>
      </c>
      <c r="AC215" s="260">
        <v>2.072759</v>
      </c>
      <c r="AD215" s="260">
        <v>2.0732919999999999</v>
      </c>
      <c r="AE215" s="260">
        <v>2.0738240000000001</v>
      </c>
      <c r="AF215" s="260">
        <v>2.0743559999999999</v>
      </c>
      <c r="AG215" s="260">
        <v>2.0748880000000001</v>
      </c>
      <c r="AH215" s="260">
        <v>2.0754190000000001</v>
      </c>
      <c r="AI215" s="260">
        <v>2.0759499999999997</v>
      </c>
      <c r="AJ215" s="260">
        <v>2.0764800000000001</v>
      </c>
      <c r="AK215" s="260">
        <v>2.0770109999999997</v>
      </c>
      <c r="AL215" s="260">
        <v>2.0775399999999999</v>
      </c>
      <c r="AM215" s="260">
        <v>2.0780699999999999</v>
      </c>
      <c r="AN215" s="260">
        <v>2.0785990000000001</v>
      </c>
      <c r="AO215" s="260">
        <v>2.0791279999999999</v>
      </c>
      <c r="AP215" s="260">
        <v>2.0796559999999999</v>
      </c>
      <c r="AQ215" s="260">
        <v>2.080184</v>
      </c>
      <c r="AR215" s="260">
        <v>2.0807120000000001</v>
      </c>
      <c r="AS215" s="260">
        <v>2.0812399999999998</v>
      </c>
      <c r="AT215" s="260">
        <v>2.0817669999999997</v>
      </c>
      <c r="AU215" s="260">
        <v>2.0822929999999999</v>
      </c>
      <c r="AV215" s="260">
        <v>2.0828199999999999</v>
      </c>
      <c r="AW215" s="260">
        <v>2.0833459999999997</v>
      </c>
      <c r="AX215" s="260">
        <v>2.0838709999999998</v>
      </c>
      <c r="AY215" s="260">
        <v>2.0843959999999999</v>
      </c>
      <c r="AZ215" s="260">
        <v>2.084921</v>
      </c>
      <c r="BA215" s="260">
        <v>2.0854459999999997</v>
      </c>
      <c r="BB215" s="260">
        <v>2.0859700000000001</v>
      </c>
      <c r="BC215" s="260">
        <v>2.0864940000000001</v>
      </c>
      <c r="BD215" s="260">
        <v>2.087018</v>
      </c>
      <c r="BE215" s="260">
        <v>2.0875409999999999</v>
      </c>
      <c r="BF215" s="260">
        <v>2.0880639999999997</v>
      </c>
      <c r="BG215" s="260">
        <v>2.0885859999999998</v>
      </c>
      <c r="BH215" s="260">
        <v>2.089108</v>
      </c>
      <c r="BI215" s="260">
        <v>2.0896300000000001</v>
      </c>
      <c r="BJ215" s="260">
        <v>2.0901519999999998</v>
      </c>
      <c r="BK215" s="260">
        <v>2.0906729999999998</v>
      </c>
      <c r="BL215" s="260">
        <v>2.0911930000000001</v>
      </c>
      <c r="BM215" s="260">
        <v>2.0917140000000001</v>
      </c>
      <c r="BN215" s="260">
        <v>2.0922339999999999</v>
      </c>
      <c r="BO215" s="260">
        <v>2.0927539999999998</v>
      </c>
      <c r="BP215" s="260">
        <v>2.0932729999999999</v>
      </c>
      <c r="BQ215" s="260">
        <v>2.0937920000000001</v>
      </c>
      <c r="BR215" s="260">
        <v>2.0943109999999998</v>
      </c>
      <c r="BS215" s="260">
        <v>2.0948289999999998</v>
      </c>
      <c r="BT215" s="260">
        <v>2.0953469999999998</v>
      </c>
      <c r="BU215" s="260">
        <v>2.0958639999999997</v>
      </c>
      <c r="BV215" s="260">
        <v>2.0963819999999997</v>
      </c>
      <c r="BW215" s="260">
        <v>2.0968990000000001</v>
      </c>
      <c r="BX215" s="260">
        <v>2.0974149999999998</v>
      </c>
      <c r="BY215" s="260">
        <v>2.0979319999999997</v>
      </c>
      <c r="BZ215" s="260">
        <v>2.0984469999999997</v>
      </c>
      <c r="CA215" s="260">
        <v>2.0989629999999999</v>
      </c>
      <c r="CB215" s="260">
        <v>2.099478</v>
      </c>
      <c r="CC215" s="260">
        <v>2.099993</v>
      </c>
      <c r="CD215" s="260">
        <v>2.100508</v>
      </c>
      <c r="CE215" s="260">
        <v>2.1010219999999999</v>
      </c>
      <c r="CF215" s="260">
        <v>2.1015359999999998</v>
      </c>
      <c r="CG215" s="260">
        <v>2.1020490000000001</v>
      </c>
      <c r="CH215" s="260">
        <v>2.1025619999999998</v>
      </c>
    </row>
    <row r="216" spans="1:86" x14ac:dyDescent="0.25">
      <c r="A216" s="170">
        <v>2</v>
      </c>
      <c r="B216" s="170">
        <v>105</v>
      </c>
      <c r="C216" s="259">
        <v>1.9924490451812744</v>
      </c>
      <c r="D216" s="259">
        <v>1.9924490451812744</v>
      </c>
      <c r="E216" s="259">
        <v>1.9924490451812744</v>
      </c>
      <c r="F216" s="259">
        <v>1.9924490451812744</v>
      </c>
      <c r="G216" s="259">
        <v>1.9924490451812744</v>
      </c>
      <c r="H216" s="259">
        <v>1.9924490451812744</v>
      </c>
      <c r="I216" s="260">
        <v>1.9179949999999999</v>
      </c>
      <c r="J216" s="260">
        <v>1.9179949999999999</v>
      </c>
      <c r="K216" s="260">
        <v>1.9179949999999999</v>
      </c>
      <c r="L216" s="260">
        <v>1.9179949999999999</v>
      </c>
      <c r="M216" s="260">
        <v>1.9179949999999999</v>
      </c>
      <c r="N216" s="260">
        <v>1.9179949999999999</v>
      </c>
      <c r="O216" s="260">
        <v>1.9179949999999999</v>
      </c>
      <c r="P216" s="260">
        <v>1.9179949999999999</v>
      </c>
      <c r="Q216" s="260">
        <v>1.9179949999999999</v>
      </c>
      <c r="R216" s="260">
        <v>1.9179949999999999</v>
      </c>
      <c r="S216" s="260">
        <v>1.9179949999999999</v>
      </c>
      <c r="T216" s="260">
        <v>1.9179949999999999</v>
      </c>
      <c r="U216" s="260">
        <v>1.9179949999999999</v>
      </c>
      <c r="V216" s="260">
        <v>1.9179949999999999</v>
      </c>
      <c r="W216" s="260">
        <v>1.9179949999999999</v>
      </c>
      <c r="X216" s="260">
        <v>1.9179949999999999</v>
      </c>
      <c r="Y216" s="260">
        <v>1.9179949999999999</v>
      </c>
      <c r="Z216" s="260">
        <v>1.9179949999999999</v>
      </c>
      <c r="AA216" s="260">
        <v>1.9179949999999999</v>
      </c>
      <c r="AB216" s="260">
        <v>1.9179949999999999</v>
      </c>
      <c r="AC216" s="260">
        <v>1.9179949999999999</v>
      </c>
      <c r="AD216" s="260">
        <v>1.9179949999999999</v>
      </c>
      <c r="AE216" s="260">
        <v>1.9179949999999999</v>
      </c>
      <c r="AF216" s="260">
        <v>1.9179949999999999</v>
      </c>
      <c r="AG216" s="260">
        <v>1.9179949999999999</v>
      </c>
      <c r="AH216" s="260">
        <v>1.9179949999999999</v>
      </c>
      <c r="AI216" s="260">
        <v>1.9179949999999999</v>
      </c>
      <c r="AJ216" s="260">
        <v>1.9179949999999999</v>
      </c>
      <c r="AK216" s="260">
        <v>1.9179949999999999</v>
      </c>
      <c r="AL216" s="260">
        <v>1.9179949999999999</v>
      </c>
      <c r="AM216" s="260">
        <v>1.9179949999999999</v>
      </c>
      <c r="AN216" s="260">
        <v>1.9179949999999999</v>
      </c>
      <c r="AO216" s="260">
        <v>1.9179949999999999</v>
      </c>
      <c r="AP216" s="260">
        <v>1.9179949999999999</v>
      </c>
      <c r="AQ216" s="260">
        <v>1.9179949999999999</v>
      </c>
      <c r="AR216" s="260">
        <v>1.9179949999999999</v>
      </c>
      <c r="AS216" s="260">
        <v>1.9179949999999999</v>
      </c>
      <c r="AT216" s="260">
        <v>1.9179949999999999</v>
      </c>
      <c r="AU216" s="260">
        <v>1.9179949999999999</v>
      </c>
      <c r="AV216" s="260">
        <v>1.9179949999999999</v>
      </c>
      <c r="AW216" s="260">
        <v>1.9179949999999999</v>
      </c>
      <c r="AX216" s="260">
        <v>1.9179949999999999</v>
      </c>
      <c r="AY216" s="260">
        <v>1.9179949999999999</v>
      </c>
      <c r="AZ216" s="260">
        <v>1.9179949999999999</v>
      </c>
      <c r="BA216" s="260">
        <v>1.9179949999999999</v>
      </c>
      <c r="BB216" s="260">
        <v>1.9179949999999999</v>
      </c>
      <c r="BC216" s="260">
        <v>1.9179949999999999</v>
      </c>
      <c r="BD216" s="260">
        <v>1.9179949999999999</v>
      </c>
      <c r="BE216" s="260">
        <v>1.9179949999999999</v>
      </c>
      <c r="BF216" s="260">
        <v>1.9179949999999999</v>
      </c>
      <c r="BG216" s="260">
        <v>1.9179949999999999</v>
      </c>
      <c r="BH216" s="260">
        <v>1.9179949999999999</v>
      </c>
      <c r="BI216" s="260">
        <v>1.9179949999999999</v>
      </c>
      <c r="BJ216" s="260">
        <v>1.9179949999999999</v>
      </c>
      <c r="BK216" s="260">
        <v>1.9179949999999999</v>
      </c>
      <c r="BL216" s="260">
        <v>1.9179949999999999</v>
      </c>
      <c r="BM216" s="260">
        <v>1.9179949999999999</v>
      </c>
      <c r="BN216" s="260">
        <v>1.9179949999999999</v>
      </c>
      <c r="BO216" s="260">
        <v>1.9179949999999999</v>
      </c>
      <c r="BP216" s="260">
        <v>1.9179949999999999</v>
      </c>
      <c r="BQ216" s="260">
        <v>1.9179949999999999</v>
      </c>
      <c r="BR216" s="260">
        <v>1.9179949999999999</v>
      </c>
      <c r="BS216" s="260">
        <v>1.9179949999999999</v>
      </c>
      <c r="BT216" s="260">
        <v>1.9179949999999999</v>
      </c>
      <c r="BU216" s="260">
        <v>1.9179949999999999</v>
      </c>
      <c r="BV216" s="260">
        <v>1.9179949999999999</v>
      </c>
      <c r="BW216" s="260">
        <v>1.9179949999999999</v>
      </c>
      <c r="BX216" s="260">
        <v>1.9179949999999999</v>
      </c>
      <c r="BY216" s="260">
        <v>1.9179949999999999</v>
      </c>
      <c r="BZ216" s="260">
        <v>1.9179949999999999</v>
      </c>
      <c r="CA216" s="260">
        <v>1.9179949999999999</v>
      </c>
      <c r="CB216" s="260">
        <v>1.9179949999999999</v>
      </c>
      <c r="CC216" s="260">
        <v>1.9179949999999999</v>
      </c>
      <c r="CD216" s="260">
        <v>1.9179949999999999</v>
      </c>
      <c r="CE216" s="260">
        <v>1.9179949999999999</v>
      </c>
      <c r="CF216" s="260">
        <v>1.9179949999999999</v>
      </c>
      <c r="CG216" s="260">
        <v>1.9179949999999999</v>
      </c>
      <c r="CH216" s="260">
        <v>1.9179949999999999</v>
      </c>
    </row>
    <row r="217" spans="1:86" x14ac:dyDescent="0.25">
      <c r="A217" s="170">
        <v>2</v>
      </c>
      <c r="B217" s="170">
        <v>106</v>
      </c>
      <c r="C217" s="259">
        <v>1.819409966468811</v>
      </c>
      <c r="D217" s="259">
        <v>1.819409966468811</v>
      </c>
      <c r="E217" s="259">
        <v>1.819409966468811</v>
      </c>
      <c r="F217" s="259">
        <v>1.819409966468811</v>
      </c>
      <c r="G217" s="259">
        <v>1.819409966468811</v>
      </c>
      <c r="H217" s="259">
        <v>1.819409966468811</v>
      </c>
      <c r="I217" s="260">
        <v>1.7745179999999998</v>
      </c>
      <c r="J217" s="260">
        <v>1.7745179999999998</v>
      </c>
      <c r="K217" s="260">
        <v>1.7745179999999998</v>
      </c>
      <c r="L217" s="260">
        <v>1.7745179999999998</v>
      </c>
      <c r="M217" s="260">
        <v>1.7745179999999998</v>
      </c>
      <c r="N217" s="260">
        <v>1.7745179999999998</v>
      </c>
      <c r="O217" s="260">
        <v>1.7745179999999998</v>
      </c>
      <c r="P217" s="260">
        <v>1.7745179999999998</v>
      </c>
      <c r="Q217" s="260">
        <v>1.7745179999999998</v>
      </c>
      <c r="R217" s="260">
        <v>1.7745179999999998</v>
      </c>
      <c r="S217" s="260">
        <v>1.7745179999999998</v>
      </c>
      <c r="T217" s="260">
        <v>1.7745179999999998</v>
      </c>
      <c r="U217" s="260">
        <v>1.7745179999999998</v>
      </c>
      <c r="V217" s="260">
        <v>1.7745179999999998</v>
      </c>
      <c r="W217" s="260">
        <v>1.7745179999999998</v>
      </c>
      <c r="X217" s="260">
        <v>1.7745179999999998</v>
      </c>
      <c r="Y217" s="260">
        <v>1.7745179999999998</v>
      </c>
      <c r="Z217" s="260">
        <v>1.7745179999999998</v>
      </c>
      <c r="AA217" s="260">
        <v>1.7745179999999998</v>
      </c>
      <c r="AB217" s="260">
        <v>1.7745179999999998</v>
      </c>
      <c r="AC217" s="260">
        <v>1.7745179999999998</v>
      </c>
      <c r="AD217" s="260">
        <v>1.7745179999999998</v>
      </c>
      <c r="AE217" s="260">
        <v>1.7745179999999998</v>
      </c>
      <c r="AF217" s="260">
        <v>1.7745179999999998</v>
      </c>
      <c r="AG217" s="260">
        <v>1.7745179999999998</v>
      </c>
      <c r="AH217" s="260">
        <v>1.7745179999999998</v>
      </c>
      <c r="AI217" s="260">
        <v>1.7745179999999998</v>
      </c>
      <c r="AJ217" s="260">
        <v>1.7745179999999998</v>
      </c>
      <c r="AK217" s="260">
        <v>1.7745179999999998</v>
      </c>
      <c r="AL217" s="260">
        <v>1.7745179999999998</v>
      </c>
      <c r="AM217" s="260">
        <v>1.7745179999999998</v>
      </c>
      <c r="AN217" s="260">
        <v>1.7745179999999998</v>
      </c>
      <c r="AO217" s="260">
        <v>1.7745179999999998</v>
      </c>
      <c r="AP217" s="260">
        <v>1.7745179999999998</v>
      </c>
      <c r="AQ217" s="260">
        <v>1.7745179999999998</v>
      </c>
      <c r="AR217" s="260">
        <v>1.7745179999999998</v>
      </c>
      <c r="AS217" s="260">
        <v>1.7745179999999998</v>
      </c>
      <c r="AT217" s="260">
        <v>1.7745179999999998</v>
      </c>
      <c r="AU217" s="260">
        <v>1.7745179999999998</v>
      </c>
      <c r="AV217" s="260">
        <v>1.7745179999999998</v>
      </c>
      <c r="AW217" s="260">
        <v>1.7745179999999998</v>
      </c>
      <c r="AX217" s="260">
        <v>1.7745179999999998</v>
      </c>
      <c r="AY217" s="260">
        <v>1.7745179999999998</v>
      </c>
      <c r="AZ217" s="260">
        <v>1.7745179999999998</v>
      </c>
      <c r="BA217" s="260">
        <v>1.7745179999999998</v>
      </c>
      <c r="BB217" s="260">
        <v>1.7745179999999998</v>
      </c>
      <c r="BC217" s="260">
        <v>1.7745179999999998</v>
      </c>
      <c r="BD217" s="260">
        <v>1.7745179999999998</v>
      </c>
      <c r="BE217" s="260">
        <v>1.7745179999999998</v>
      </c>
      <c r="BF217" s="260">
        <v>1.7745179999999998</v>
      </c>
      <c r="BG217" s="260">
        <v>1.7745179999999998</v>
      </c>
      <c r="BH217" s="260">
        <v>1.7745179999999998</v>
      </c>
      <c r="BI217" s="260">
        <v>1.7745179999999998</v>
      </c>
      <c r="BJ217" s="260">
        <v>1.7745179999999998</v>
      </c>
      <c r="BK217" s="260">
        <v>1.7745179999999998</v>
      </c>
      <c r="BL217" s="260">
        <v>1.7745179999999998</v>
      </c>
      <c r="BM217" s="260">
        <v>1.7745179999999998</v>
      </c>
      <c r="BN217" s="260">
        <v>1.7745179999999998</v>
      </c>
      <c r="BO217" s="260">
        <v>1.7745179999999998</v>
      </c>
      <c r="BP217" s="260">
        <v>1.7745179999999998</v>
      </c>
      <c r="BQ217" s="260">
        <v>1.7745179999999998</v>
      </c>
      <c r="BR217" s="260">
        <v>1.7745179999999998</v>
      </c>
      <c r="BS217" s="260">
        <v>1.7745179999999998</v>
      </c>
      <c r="BT217" s="260">
        <v>1.7745179999999998</v>
      </c>
      <c r="BU217" s="260">
        <v>1.7745179999999998</v>
      </c>
      <c r="BV217" s="260">
        <v>1.7745179999999998</v>
      </c>
      <c r="BW217" s="260">
        <v>1.7745179999999998</v>
      </c>
      <c r="BX217" s="260">
        <v>1.7745179999999998</v>
      </c>
      <c r="BY217" s="260">
        <v>1.7745179999999998</v>
      </c>
      <c r="BZ217" s="260">
        <v>1.7745179999999998</v>
      </c>
      <c r="CA217" s="260">
        <v>1.7745179999999998</v>
      </c>
      <c r="CB217" s="260">
        <v>1.7745179999999998</v>
      </c>
      <c r="CC217" s="260">
        <v>1.7745179999999998</v>
      </c>
      <c r="CD217" s="260">
        <v>1.7745179999999998</v>
      </c>
      <c r="CE217" s="260">
        <v>1.7745179999999998</v>
      </c>
      <c r="CF217" s="260">
        <v>1.7745179999999998</v>
      </c>
      <c r="CG217" s="260">
        <v>1.7745179999999998</v>
      </c>
      <c r="CH217" s="260">
        <v>1.7745179999999998</v>
      </c>
    </row>
    <row r="218" spans="1:86" x14ac:dyDescent="0.25">
      <c r="A218" s="170">
        <v>2</v>
      </c>
      <c r="B218" s="170">
        <v>107</v>
      </c>
      <c r="C218" s="259">
        <v>1.6300510168075562</v>
      </c>
      <c r="D218" s="259">
        <v>1.6300510168075562</v>
      </c>
      <c r="E218" s="259">
        <v>1.6300510168075562</v>
      </c>
      <c r="F218" s="259">
        <v>1.6300510168075562</v>
      </c>
      <c r="G218" s="259">
        <v>1.6300510168075562</v>
      </c>
      <c r="H218" s="259">
        <v>1.6300510168075562</v>
      </c>
      <c r="I218" s="260">
        <v>1.6108899999999999</v>
      </c>
      <c r="J218" s="260">
        <v>1.6108899999999999</v>
      </c>
      <c r="K218" s="260">
        <v>1.6108899999999999</v>
      </c>
      <c r="L218" s="260">
        <v>1.6108899999999999</v>
      </c>
      <c r="M218" s="260">
        <v>1.6108899999999999</v>
      </c>
      <c r="N218" s="260">
        <v>1.6108899999999999</v>
      </c>
      <c r="O218" s="260">
        <v>1.6108899999999999</v>
      </c>
      <c r="P218" s="260">
        <v>1.6108899999999999</v>
      </c>
      <c r="Q218" s="260">
        <v>1.6108899999999999</v>
      </c>
      <c r="R218" s="260">
        <v>1.6108899999999999</v>
      </c>
      <c r="S218" s="260">
        <v>1.6108899999999999</v>
      </c>
      <c r="T218" s="260">
        <v>1.6108899999999999</v>
      </c>
      <c r="U218" s="260">
        <v>1.6108899999999999</v>
      </c>
      <c r="V218" s="260">
        <v>1.6108899999999999</v>
      </c>
      <c r="W218" s="260">
        <v>1.6108899999999999</v>
      </c>
      <c r="X218" s="260">
        <v>1.6108899999999999</v>
      </c>
      <c r="Y218" s="260">
        <v>1.6108899999999999</v>
      </c>
      <c r="Z218" s="260">
        <v>1.6108899999999999</v>
      </c>
      <c r="AA218" s="260">
        <v>1.6108899999999999</v>
      </c>
      <c r="AB218" s="260">
        <v>1.6108899999999999</v>
      </c>
      <c r="AC218" s="260">
        <v>1.6108899999999999</v>
      </c>
      <c r="AD218" s="260">
        <v>1.6108899999999999</v>
      </c>
      <c r="AE218" s="260">
        <v>1.6108899999999999</v>
      </c>
      <c r="AF218" s="260">
        <v>1.6108899999999999</v>
      </c>
      <c r="AG218" s="260">
        <v>1.6108899999999999</v>
      </c>
      <c r="AH218" s="260">
        <v>1.6108899999999999</v>
      </c>
      <c r="AI218" s="260">
        <v>1.6108899999999999</v>
      </c>
      <c r="AJ218" s="260">
        <v>1.6108899999999999</v>
      </c>
      <c r="AK218" s="260">
        <v>1.6108899999999999</v>
      </c>
      <c r="AL218" s="260">
        <v>1.6108899999999999</v>
      </c>
      <c r="AM218" s="260">
        <v>1.6108899999999999</v>
      </c>
      <c r="AN218" s="260">
        <v>1.6108899999999999</v>
      </c>
      <c r="AO218" s="260">
        <v>1.6108899999999999</v>
      </c>
      <c r="AP218" s="260">
        <v>1.6108899999999999</v>
      </c>
      <c r="AQ218" s="260">
        <v>1.6108899999999999</v>
      </c>
      <c r="AR218" s="260">
        <v>1.6108899999999999</v>
      </c>
      <c r="AS218" s="260">
        <v>1.6108899999999999</v>
      </c>
      <c r="AT218" s="260">
        <v>1.6108899999999999</v>
      </c>
      <c r="AU218" s="260">
        <v>1.6108899999999999</v>
      </c>
      <c r="AV218" s="260">
        <v>1.6108899999999999</v>
      </c>
      <c r="AW218" s="260">
        <v>1.6108899999999999</v>
      </c>
      <c r="AX218" s="260">
        <v>1.6108899999999999</v>
      </c>
      <c r="AY218" s="260">
        <v>1.6108899999999999</v>
      </c>
      <c r="AZ218" s="260">
        <v>1.6108899999999999</v>
      </c>
      <c r="BA218" s="260">
        <v>1.6108899999999999</v>
      </c>
      <c r="BB218" s="260">
        <v>1.6108899999999999</v>
      </c>
      <c r="BC218" s="260">
        <v>1.6108899999999999</v>
      </c>
      <c r="BD218" s="260">
        <v>1.6108899999999999</v>
      </c>
      <c r="BE218" s="260">
        <v>1.6108899999999999</v>
      </c>
      <c r="BF218" s="260">
        <v>1.6108899999999999</v>
      </c>
      <c r="BG218" s="260">
        <v>1.6108899999999999</v>
      </c>
      <c r="BH218" s="260">
        <v>1.6108899999999999</v>
      </c>
      <c r="BI218" s="260">
        <v>1.6108899999999999</v>
      </c>
      <c r="BJ218" s="260">
        <v>1.6108899999999999</v>
      </c>
      <c r="BK218" s="260">
        <v>1.6108899999999999</v>
      </c>
      <c r="BL218" s="260">
        <v>1.6108899999999999</v>
      </c>
      <c r="BM218" s="260">
        <v>1.6108899999999999</v>
      </c>
      <c r="BN218" s="260">
        <v>1.6108899999999999</v>
      </c>
      <c r="BO218" s="260">
        <v>1.6108899999999999</v>
      </c>
      <c r="BP218" s="260">
        <v>1.6108899999999999</v>
      </c>
      <c r="BQ218" s="260">
        <v>1.6108899999999999</v>
      </c>
      <c r="BR218" s="260">
        <v>1.6108899999999999</v>
      </c>
      <c r="BS218" s="260">
        <v>1.6108899999999999</v>
      </c>
      <c r="BT218" s="260">
        <v>1.6108899999999999</v>
      </c>
      <c r="BU218" s="260">
        <v>1.6108899999999999</v>
      </c>
      <c r="BV218" s="260">
        <v>1.6108899999999999</v>
      </c>
      <c r="BW218" s="260">
        <v>1.6108899999999999</v>
      </c>
      <c r="BX218" s="260">
        <v>1.6108899999999999</v>
      </c>
      <c r="BY218" s="260">
        <v>1.6108899999999999</v>
      </c>
      <c r="BZ218" s="260">
        <v>1.6108899999999999</v>
      </c>
      <c r="CA218" s="260">
        <v>1.6108899999999999</v>
      </c>
      <c r="CB218" s="260">
        <v>1.6108899999999999</v>
      </c>
      <c r="CC218" s="260">
        <v>1.6108899999999999</v>
      </c>
      <c r="CD218" s="260">
        <v>1.6108899999999999</v>
      </c>
      <c r="CE218" s="260">
        <v>1.6108899999999999</v>
      </c>
      <c r="CF218" s="260">
        <v>1.6108899999999999</v>
      </c>
      <c r="CG218" s="260">
        <v>1.6108899999999999</v>
      </c>
      <c r="CH218" s="260">
        <v>1.6108899999999999</v>
      </c>
    </row>
    <row r="219" spans="1:86" x14ac:dyDescent="0.25">
      <c r="A219" s="170">
        <v>2</v>
      </c>
      <c r="B219" s="170">
        <v>108</v>
      </c>
      <c r="C219" s="259">
        <v>1.3990739583969116</v>
      </c>
      <c r="D219" s="259">
        <v>1.3990739583969116</v>
      </c>
      <c r="E219" s="259">
        <v>1.3990739583969116</v>
      </c>
      <c r="F219" s="259">
        <v>1.3990739583969116</v>
      </c>
      <c r="G219" s="259">
        <v>1.3990739583969116</v>
      </c>
      <c r="H219" s="259">
        <v>1.3990739583969116</v>
      </c>
      <c r="I219" s="260">
        <v>1.3983459999999999</v>
      </c>
      <c r="J219" s="260">
        <v>1.3983459999999999</v>
      </c>
      <c r="K219" s="260">
        <v>1.3983459999999999</v>
      </c>
      <c r="L219" s="260">
        <v>1.3983459999999999</v>
      </c>
      <c r="M219" s="260">
        <v>1.3983459999999999</v>
      </c>
      <c r="N219" s="260">
        <v>1.3983459999999999</v>
      </c>
      <c r="O219" s="260">
        <v>1.3983459999999999</v>
      </c>
      <c r="P219" s="260">
        <v>1.3983459999999999</v>
      </c>
      <c r="Q219" s="260">
        <v>1.3983459999999999</v>
      </c>
      <c r="R219" s="260">
        <v>1.3983459999999999</v>
      </c>
      <c r="S219" s="260">
        <v>1.3983459999999999</v>
      </c>
      <c r="T219" s="260">
        <v>1.3983459999999999</v>
      </c>
      <c r="U219" s="260">
        <v>1.3983459999999999</v>
      </c>
      <c r="V219" s="260">
        <v>1.3983459999999999</v>
      </c>
      <c r="W219" s="260">
        <v>1.3983459999999999</v>
      </c>
      <c r="X219" s="260">
        <v>1.3983459999999999</v>
      </c>
      <c r="Y219" s="260">
        <v>1.3983459999999999</v>
      </c>
      <c r="Z219" s="260">
        <v>1.3983459999999999</v>
      </c>
      <c r="AA219" s="260">
        <v>1.3983459999999999</v>
      </c>
      <c r="AB219" s="260">
        <v>1.3983459999999999</v>
      </c>
      <c r="AC219" s="260">
        <v>1.3983459999999999</v>
      </c>
      <c r="AD219" s="260">
        <v>1.3983459999999999</v>
      </c>
      <c r="AE219" s="260">
        <v>1.3983459999999999</v>
      </c>
      <c r="AF219" s="260">
        <v>1.3983459999999999</v>
      </c>
      <c r="AG219" s="260">
        <v>1.3983459999999999</v>
      </c>
      <c r="AH219" s="260">
        <v>1.3983459999999999</v>
      </c>
      <c r="AI219" s="260">
        <v>1.3983459999999999</v>
      </c>
      <c r="AJ219" s="260">
        <v>1.3983459999999999</v>
      </c>
      <c r="AK219" s="260">
        <v>1.3983459999999999</v>
      </c>
      <c r="AL219" s="260">
        <v>1.3983459999999999</v>
      </c>
      <c r="AM219" s="260">
        <v>1.3983459999999999</v>
      </c>
      <c r="AN219" s="260">
        <v>1.3983459999999999</v>
      </c>
      <c r="AO219" s="260">
        <v>1.3983459999999999</v>
      </c>
      <c r="AP219" s="260">
        <v>1.3983459999999999</v>
      </c>
      <c r="AQ219" s="260">
        <v>1.3983459999999999</v>
      </c>
      <c r="AR219" s="260">
        <v>1.3983459999999999</v>
      </c>
      <c r="AS219" s="260">
        <v>1.3983459999999999</v>
      </c>
      <c r="AT219" s="260">
        <v>1.3983459999999999</v>
      </c>
      <c r="AU219" s="260">
        <v>1.3983459999999999</v>
      </c>
      <c r="AV219" s="260">
        <v>1.3983459999999999</v>
      </c>
      <c r="AW219" s="260">
        <v>1.3983459999999999</v>
      </c>
      <c r="AX219" s="260">
        <v>1.3983459999999999</v>
      </c>
      <c r="AY219" s="260">
        <v>1.3983459999999999</v>
      </c>
      <c r="AZ219" s="260">
        <v>1.3983459999999999</v>
      </c>
      <c r="BA219" s="260">
        <v>1.3983459999999999</v>
      </c>
      <c r="BB219" s="260">
        <v>1.3983459999999999</v>
      </c>
      <c r="BC219" s="260">
        <v>1.3983459999999999</v>
      </c>
      <c r="BD219" s="260">
        <v>1.3983459999999999</v>
      </c>
      <c r="BE219" s="260">
        <v>1.3983459999999999</v>
      </c>
      <c r="BF219" s="260">
        <v>1.3983459999999999</v>
      </c>
      <c r="BG219" s="260">
        <v>1.3983459999999999</v>
      </c>
      <c r="BH219" s="260">
        <v>1.3983459999999999</v>
      </c>
      <c r="BI219" s="260">
        <v>1.3983459999999999</v>
      </c>
      <c r="BJ219" s="260">
        <v>1.3983459999999999</v>
      </c>
      <c r="BK219" s="260">
        <v>1.3983459999999999</v>
      </c>
      <c r="BL219" s="260">
        <v>1.3983459999999999</v>
      </c>
      <c r="BM219" s="260">
        <v>1.3983459999999999</v>
      </c>
      <c r="BN219" s="260">
        <v>1.3983459999999999</v>
      </c>
      <c r="BO219" s="260">
        <v>1.3983459999999999</v>
      </c>
      <c r="BP219" s="260">
        <v>1.3983459999999999</v>
      </c>
      <c r="BQ219" s="260">
        <v>1.3983459999999999</v>
      </c>
      <c r="BR219" s="260">
        <v>1.3983459999999999</v>
      </c>
      <c r="BS219" s="260">
        <v>1.3983459999999999</v>
      </c>
      <c r="BT219" s="260">
        <v>1.3983459999999999</v>
      </c>
      <c r="BU219" s="260">
        <v>1.3983459999999999</v>
      </c>
      <c r="BV219" s="260">
        <v>1.3983459999999999</v>
      </c>
      <c r="BW219" s="260">
        <v>1.3983459999999999</v>
      </c>
      <c r="BX219" s="260">
        <v>1.3983459999999999</v>
      </c>
      <c r="BY219" s="260">
        <v>1.3983459999999999</v>
      </c>
      <c r="BZ219" s="260">
        <v>1.3983459999999999</v>
      </c>
      <c r="CA219" s="260">
        <v>1.3983459999999999</v>
      </c>
      <c r="CB219" s="260">
        <v>1.3983459999999999</v>
      </c>
      <c r="CC219" s="260">
        <v>1.3983459999999999</v>
      </c>
      <c r="CD219" s="260">
        <v>1.3983459999999999</v>
      </c>
      <c r="CE219" s="260">
        <v>1.3983459999999999</v>
      </c>
      <c r="CF219" s="260">
        <v>1.3983459999999999</v>
      </c>
      <c r="CG219" s="260">
        <v>1.3983459999999999</v>
      </c>
      <c r="CH219" s="260">
        <v>1.3983459999999999</v>
      </c>
    </row>
    <row r="220" spans="1:86" x14ac:dyDescent="0.25">
      <c r="A220" s="170">
        <v>2</v>
      </c>
      <c r="B220" s="170">
        <v>109</v>
      </c>
      <c r="C220" s="259">
        <v>1.0741759538650513</v>
      </c>
      <c r="D220" s="259">
        <v>1.0741759538650513</v>
      </c>
      <c r="E220" s="259">
        <v>1.0741759538650513</v>
      </c>
      <c r="F220" s="259">
        <v>1.0741759538650513</v>
      </c>
      <c r="G220" s="259">
        <v>1.0741759538650513</v>
      </c>
      <c r="H220" s="259">
        <v>1.0741759538650513</v>
      </c>
      <c r="I220" s="260">
        <v>1.0802969999999998</v>
      </c>
      <c r="J220" s="260">
        <v>1.0802969999999998</v>
      </c>
      <c r="K220" s="260">
        <v>1.0802969999999998</v>
      </c>
      <c r="L220" s="260">
        <v>1.0802969999999998</v>
      </c>
      <c r="M220" s="260">
        <v>1.0802969999999998</v>
      </c>
      <c r="N220" s="260">
        <v>1.0802969999999998</v>
      </c>
      <c r="O220" s="260">
        <v>1.0802969999999998</v>
      </c>
      <c r="P220" s="260">
        <v>1.0802969999999998</v>
      </c>
      <c r="Q220" s="260">
        <v>1.0802969999999998</v>
      </c>
      <c r="R220" s="260">
        <v>1.0802969999999998</v>
      </c>
      <c r="S220" s="260">
        <v>1.0802969999999998</v>
      </c>
      <c r="T220" s="260">
        <v>1.0802969999999998</v>
      </c>
      <c r="U220" s="260">
        <v>1.0802969999999998</v>
      </c>
      <c r="V220" s="260">
        <v>1.0802969999999998</v>
      </c>
      <c r="W220" s="260">
        <v>1.0802969999999998</v>
      </c>
      <c r="X220" s="260">
        <v>1.0802969999999998</v>
      </c>
      <c r="Y220" s="260">
        <v>1.0802969999999998</v>
      </c>
      <c r="Z220" s="260">
        <v>1.0802969999999998</v>
      </c>
      <c r="AA220" s="260">
        <v>1.0802969999999998</v>
      </c>
      <c r="AB220" s="260">
        <v>1.0802969999999998</v>
      </c>
      <c r="AC220" s="260">
        <v>1.0802969999999998</v>
      </c>
      <c r="AD220" s="260">
        <v>1.0802969999999998</v>
      </c>
      <c r="AE220" s="260">
        <v>1.0802969999999998</v>
      </c>
      <c r="AF220" s="260">
        <v>1.0802969999999998</v>
      </c>
      <c r="AG220" s="260">
        <v>1.0802969999999998</v>
      </c>
      <c r="AH220" s="260">
        <v>1.0802969999999998</v>
      </c>
      <c r="AI220" s="260">
        <v>1.0802969999999998</v>
      </c>
      <c r="AJ220" s="260">
        <v>1.0802969999999998</v>
      </c>
      <c r="AK220" s="260">
        <v>1.0802969999999998</v>
      </c>
      <c r="AL220" s="260">
        <v>1.0802969999999998</v>
      </c>
      <c r="AM220" s="260">
        <v>1.0802969999999998</v>
      </c>
      <c r="AN220" s="260">
        <v>1.0802969999999998</v>
      </c>
      <c r="AO220" s="260">
        <v>1.0802969999999998</v>
      </c>
      <c r="AP220" s="260">
        <v>1.0802969999999998</v>
      </c>
      <c r="AQ220" s="260">
        <v>1.0802969999999998</v>
      </c>
      <c r="AR220" s="260">
        <v>1.0802969999999998</v>
      </c>
      <c r="AS220" s="260">
        <v>1.0802969999999998</v>
      </c>
      <c r="AT220" s="260">
        <v>1.0802969999999998</v>
      </c>
      <c r="AU220" s="260">
        <v>1.0802969999999998</v>
      </c>
      <c r="AV220" s="260">
        <v>1.0802969999999998</v>
      </c>
      <c r="AW220" s="260">
        <v>1.0802969999999998</v>
      </c>
      <c r="AX220" s="260">
        <v>1.0802969999999998</v>
      </c>
      <c r="AY220" s="260">
        <v>1.0802969999999998</v>
      </c>
      <c r="AZ220" s="260">
        <v>1.0802969999999998</v>
      </c>
      <c r="BA220" s="260">
        <v>1.0802969999999998</v>
      </c>
      <c r="BB220" s="260">
        <v>1.0802969999999998</v>
      </c>
      <c r="BC220" s="260">
        <v>1.0802969999999998</v>
      </c>
      <c r="BD220" s="260">
        <v>1.0802969999999998</v>
      </c>
      <c r="BE220" s="260">
        <v>1.0802969999999998</v>
      </c>
      <c r="BF220" s="260">
        <v>1.0802969999999998</v>
      </c>
      <c r="BG220" s="260">
        <v>1.0802969999999998</v>
      </c>
      <c r="BH220" s="260">
        <v>1.0802969999999998</v>
      </c>
      <c r="BI220" s="260">
        <v>1.0802969999999998</v>
      </c>
      <c r="BJ220" s="260">
        <v>1.0802969999999998</v>
      </c>
      <c r="BK220" s="260">
        <v>1.0802969999999998</v>
      </c>
      <c r="BL220" s="260">
        <v>1.0802969999999998</v>
      </c>
      <c r="BM220" s="260">
        <v>1.0802969999999998</v>
      </c>
      <c r="BN220" s="260">
        <v>1.0802969999999998</v>
      </c>
      <c r="BO220" s="260">
        <v>1.0802969999999998</v>
      </c>
      <c r="BP220" s="260">
        <v>1.0802969999999998</v>
      </c>
      <c r="BQ220" s="260">
        <v>1.0802969999999998</v>
      </c>
      <c r="BR220" s="260">
        <v>1.0802969999999998</v>
      </c>
      <c r="BS220" s="260">
        <v>1.0802969999999998</v>
      </c>
      <c r="BT220" s="260">
        <v>1.0802969999999998</v>
      </c>
      <c r="BU220" s="260">
        <v>1.0802969999999998</v>
      </c>
      <c r="BV220" s="260">
        <v>1.0802969999999998</v>
      </c>
      <c r="BW220" s="260">
        <v>1.0802969999999998</v>
      </c>
      <c r="BX220" s="260">
        <v>1.0802969999999998</v>
      </c>
      <c r="BY220" s="260">
        <v>1.0802969999999998</v>
      </c>
      <c r="BZ220" s="260">
        <v>1.0802969999999998</v>
      </c>
      <c r="CA220" s="260">
        <v>1.0802969999999998</v>
      </c>
      <c r="CB220" s="260">
        <v>1.0802969999999998</v>
      </c>
      <c r="CC220" s="260">
        <v>1.0802969999999998</v>
      </c>
      <c r="CD220" s="260">
        <v>1.0802969999999998</v>
      </c>
      <c r="CE220" s="260">
        <v>1.0802969999999998</v>
      </c>
      <c r="CF220" s="260">
        <v>1.0802969999999998</v>
      </c>
      <c r="CG220" s="260">
        <v>1.0802969999999998</v>
      </c>
      <c r="CH220" s="260">
        <v>1.0802969999999998</v>
      </c>
    </row>
    <row r="221" spans="1:86" x14ac:dyDescent="0.25">
      <c r="A221" s="170">
        <v>2</v>
      </c>
      <c r="B221" s="170">
        <v>110</v>
      </c>
      <c r="C221" s="259">
        <v>0.54166698455810547</v>
      </c>
      <c r="D221" s="259">
        <v>0.54166698455810547</v>
      </c>
      <c r="E221" s="259">
        <v>0.54166698455810547</v>
      </c>
      <c r="F221" s="259">
        <v>0.54166698455810547</v>
      </c>
      <c r="G221" s="259">
        <v>0.54166698455810547</v>
      </c>
      <c r="H221" s="259">
        <v>0.54166698455810547</v>
      </c>
      <c r="I221" s="260">
        <v>0.54166700000000001</v>
      </c>
      <c r="J221" s="260">
        <v>0.54166700000000001</v>
      </c>
      <c r="K221" s="260">
        <v>0.54166700000000001</v>
      </c>
      <c r="L221" s="260">
        <v>0.54166700000000001</v>
      </c>
      <c r="M221" s="260">
        <v>0.54166700000000001</v>
      </c>
      <c r="N221" s="260">
        <v>0.54166700000000001</v>
      </c>
      <c r="O221" s="260">
        <v>0.54166700000000001</v>
      </c>
      <c r="P221" s="260">
        <v>0.54166700000000001</v>
      </c>
      <c r="Q221" s="260">
        <v>0.54166700000000001</v>
      </c>
      <c r="R221" s="260">
        <v>0.54166700000000001</v>
      </c>
      <c r="S221" s="260">
        <v>0.54166700000000001</v>
      </c>
      <c r="T221" s="260">
        <v>0.54166700000000001</v>
      </c>
      <c r="U221" s="260">
        <v>0.54166700000000001</v>
      </c>
      <c r="V221" s="260">
        <v>0.54166700000000001</v>
      </c>
      <c r="W221" s="260">
        <v>0.54166700000000001</v>
      </c>
      <c r="X221" s="260">
        <v>0.54166700000000001</v>
      </c>
      <c r="Y221" s="260">
        <v>0.54166700000000001</v>
      </c>
      <c r="Z221" s="260">
        <v>0.54166700000000001</v>
      </c>
      <c r="AA221" s="260">
        <v>0.54166700000000001</v>
      </c>
      <c r="AB221" s="260">
        <v>0.54166700000000001</v>
      </c>
      <c r="AC221" s="260">
        <v>0.54166700000000001</v>
      </c>
      <c r="AD221" s="260">
        <v>0.54166700000000001</v>
      </c>
      <c r="AE221" s="260">
        <v>0.54166700000000001</v>
      </c>
      <c r="AF221" s="260">
        <v>0.54166700000000001</v>
      </c>
      <c r="AG221" s="260">
        <v>0.54166700000000001</v>
      </c>
      <c r="AH221" s="260">
        <v>0.54166700000000001</v>
      </c>
      <c r="AI221" s="260">
        <v>0.54166700000000001</v>
      </c>
      <c r="AJ221" s="260">
        <v>0.54166700000000001</v>
      </c>
      <c r="AK221" s="260">
        <v>0.54166700000000001</v>
      </c>
      <c r="AL221" s="260">
        <v>0.54166700000000001</v>
      </c>
      <c r="AM221" s="260">
        <v>0.54166700000000001</v>
      </c>
      <c r="AN221" s="260">
        <v>0.54166700000000001</v>
      </c>
      <c r="AO221" s="260">
        <v>0.54166700000000001</v>
      </c>
      <c r="AP221" s="260">
        <v>0.54166700000000001</v>
      </c>
      <c r="AQ221" s="260">
        <v>0.54166700000000001</v>
      </c>
      <c r="AR221" s="260">
        <v>0.54166700000000001</v>
      </c>
      <c r="AS221" s="260">
        <v>0.54166700000000001</v>
      </c>
      <c r="AT221" s="260">
        <v>0.54166700000000001</v>
      </c>
      <c r="AU221" s="260">
        <v>0.54166700000000001</v>
      </c>
      <c r="AV221" s="260">
        <v>0.54166700000000001</v>
      </c>
      <c r="AW221" s="260">
        <v>0.54166700000000001</v>
      </c>
      <c r="AX221" s="260">
        <v>0.54166700000000001</v>
      </c>
      <c r="AY221" s="260">
        <v>0.54166700000000001</v>
      </c>
      <c r="AZ221" s="260">
        <v>0.54166700000000001</v>
      </c>
      <c r="BA221" s="260">
        <v>0.54166700000000001</v>
      </c>
      <c r="BB221" s="260">
        <v>0.54166700000000001</v>
      </c>
      <c r="BC221" s="260">
        <v>0.54166700000000001</v>
      </c>
      <c r="BD221" s="260">
        <v>0.54166700000000001</v>
      </c>
      <c r="BE221" s="260">
        <v>0.54166700000000001</v>
      </c>
      <c r="BF221" s="260">
        <v>0.54166700000000001</v>
      </c>
      <c r="BG221" s="260">
        <v>0.54166700000000001</v>
      </c>
      <c r="BH221" s="260">
        <v>0.54166700000000001</v>
      </c>
      <c r="BI221" s="260">
        <v>0.54166700000000001</v>
      </c>
      <c r="BJ221" s="260">
        <v>0.54166700000000001</v>
      </c>
      <c r="BK221" s="260">
        <v>0.54166700000000001</v>
      </c>
      <c r="BL221" s="260">
        <v>0.54166700000000001</v>
      </c>
      <c r="BM221" s="260">
        <v>0.54166700000000001</v>
      </c>
      <c r="BN221" s="260">
        <v>0.54166700000000001</v>
      </c>
      <c r="BO221" s="260">
        <v>0.54166700000000001</v>
      </c>
      <c r="BP221" s="260">
        <v>0.54166700000000001</v>
      </c>
      <c r="BQ221" s="260">
        <v>0.54166700000000001</v>
      </c>
      <c r="BR221" s="260">
        <v>0.54166700000000001</v>
      </c>
      <c r="BS221" s="260">
        <v>0.54166700000000001</v>
      </c>
      <c r="BT221" s="260">
        <v>0.54166700000000001</v>
      </c>
      <c r="BU221" s="260">
        <v>0.54166700000000001</v>
      </c>
      <c r="BV221" s="260">
        <v>0.54166700000000001</v>
      </c>
      <c r="BW221" s="260">
        <v>0.54166700000000001</v>
      </c>
      <c r="BX221" s="260">
        <v>0.54166700000000001</v>
      </c>
      <c r="BY221" s="260">
        <v>0.54166700000000001</v>
      </c>
      <c r="BZ221" s="260">
        <v>0.54166700000000001</v>
      </c>
      <c r="CA221" s="260">
        <v>0.54166700000000001</v>
      </c>
      <c r="CB221" s="260">
        <v>0.54166700000000001</v>
      </c>
      <c r="CC221" s="260">
        <v>0.54166700000000001</v>
      </c>
      <c r="CD221" s="260">
        <v>0.54166700000000001</v>
      </c>
      <c r="CE221" s="260">
        <v>0.54166700000000001</v>
      </c>
      <c r="CF221" s="260">
        <v>0.54166700000000001</v>
      </c>
      <c r="CG221" s="260">
        <v>0.54166700000000001</v>
      </c>
      <c r="CH221" s="260">
        <v>0.54166700000000001</v>
      </c>
    </row>
    <row r="223" spans="1:86" x14ac:dyDescent="0.25">
      <c r="C223" s="258" t="s">
        <v>234</v>
      </c>
    </row>
    <row r="224" spans="1:86" x14ac:dyDescent="0.25">
      <c r="C224" s="46" t="s">
        <v>272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B2B3A-00CD-4968-B459-81243AF85E94}">
  <sheetPr codeName="Hoja6">
    <pageSetUpPr fitToPage="1"/>
  </sheetPr>
  <dimension ref="B1:AB1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5" sqref="A5"/>
      <selection pane="bottomRight" activeCell="L29" sqref="L29"/>
    </sheetView>
  </sheetViews>
  <sheetFormatPr baseColWidth="10" defaultRowHeight="15" x14ac:dyDescent="0.25"/>
  <cols>
    <col min="1" max="1" width="4.42578125" bestFit="1" customWidth="1"/>
    <col min="2" max="2" width="43.7109375" bestFit="1" customWidth="1"/>
    <col min="3" max="3" width="11.85546875" customWidth="1"/>
    <col min="4" max="4" width="12.42578125" customWidth="1"/>
    <col min="5" max="15" width="11.5703125" customWidth="1"/>
    <col min="16" max="16" width="15.28515625" bestFit="1" customWidth="1"/>
    <col min="17" max="17" width="12.28515625" bestFit="1" customWidth="1"/>
    <col min="18" max="18" width="13.7109375" bestFit="1" customWidth="1"/>
    <col min="19" max="24" width="11.5703125" customWidth="1"/>
  </cols>
  <sheetData>
    <row r="1" spans="2:28" x14ac:dyDescent="0.25">
      <c r="E1" s="336" t="s">
        <v>193</v>
      </c>
      <c r="F1" s="337" t="str">
        <f>E1</f>
        <v>Reforma 6/0</v>
      </c>
      <c r="G1" s="336" t="s">
        <v>194</v>
      </c>
      <c r="H1" s="337" t="str">
        <f>G1</f>
        <v>Reforma 0/6</v>
      </c>
      <c r="I1" s="336" t="s">
        <v>224</v>
      </c>
      <c r="J1" s="337" t="str">
        <f>I1</f>
        <v>Reforma 4-2</v>
      </c>
      <c r="K1" s="336" t="s">
        <v>227</v>
      </c>
      <c r="L1" s="337" t="str">
        <f>K1</f>
        <v>Reforma 3-3</v>
      </c>
      <c r="M1" s="336" t="s">
        <v>243</v>
      </c>
      <c r="N1" s="337" t="str">
        <f>M1</f>
        <v>Reforma 2-4</v>
      </c>
    </row>
    <row r="2" spans="2:28" x14ac:dyDescent="0.25">
      <c r="E2" s="338" t="s">
        <v>256</v>
      </c>
      <c r="F2" s="339" t="str">
        <f>E2</f>
        <v>Esc_6c</v>
      </c>
      <c r="G2" s="338" t="s">
        <v>255</v>
      </c>
      <c r="H2" s="339" t="str">
        <f>G2</f>
        <v>Esc_6i</v>
      </c>
      <c r="I2" s="338" t="s">
        <v>245</v>
      </c>
      <c r="J2" s="339" t="str">
        <f>I2</f>
        <v>Esc_4c-2i</v>
      </c>
      <c r="K2" s="338" t="s">
        <v>246</v>
      </c>
      <c r="L2" s="339" t="str">
        <f>K2</f>
        <v>Esc_3c-3i</v>
      </c>
      <c r="M2" s="338" t="s">
        <v>247</v>
      </c>
      <c r="N2" s="339" t="str">
        <f>M2</f>
        <v>Esc_2c-4i</v>
      </c>
    </row>
    <row r="3" spans="2:28" x14ac:dyDescent="0.25">
      <c r="C3" s="262" t="s">
        <v>110</v>
      </c>
      <c r="D3" s="262" t="s">
        <v>111</v>
      </c>
      <c r="E3" s="340" t="s">
        <v>110</v>
      </c>
      <c r="F3" s="341" t="s">
        <v>111</v>
      </c>
      <c r="G3" s="340" t="s">
        <v>110</v>
      </c>
      <c r="H3" s="341" t="s">
        <v>111</v>
      </c>
      <c r="I3" s="340" t="s">
        <v>110</v>
      </c>
      <c r="J3" s="341" t="s">
        <v>111</v>
      </c>
      <c r="K3" s="340" t="s">
        <v>110</v>
      </c>
      <c r="L3" s="341" t="s">
        <v>111</v>
      </c>
      <c r="M3" s="340" t="s">
        <v>110</v>
      </c>
      <c r="N3" s="341" t="s">
        <v>111</v>
      </c>
      <c r="P3" s="263" t="s">
        <v>248</v>
      </c>
      <c r="Q3" s="263"/>
      <c r="R3" s="263"/>
      <c r="AA3" s="50"/>
      <c r="AB3" s="51"/>
    </row>
    <row r="4" spans="2:28" ht="30" x14ac:dyDescent="0.25">
      <c r="C4" s="317" t="s">
        <v>144</v>
      </c>
      <c r="D4" s="317" t="s">
        <v>144</v>
      </c>
      <c r="E4" s="270" t="s">
        <v>197</v>
      </c>
      <c r="F4" s="271" t="s">
        <v>197</v>
      </c>
      <c r="G4" s="270" t="s">
        <v>198</v>
      </c>
      <c r="H4" s="271" t="s">
        <v>198</v>
      </c>
      <c r="I4" s="270" t="s">
        <v>225</v>
      </c>
      <c r="J4" s="271" t="s">
        <v>225</v>
      </c>
      <c r="K4" s="270" t="s">
        <v>228</v>
      </c>
      <c r="L4" s="271" t="s">
        <v>228</v>
      </c>
      <c r="M4" s="270" t="s">
        <v>244</v>
      </c>
      <c r="N4" s="271" t="s">
        <v>244</v>
      </c>
      <c r="P4" s="342" t="s">
        <v>200</v>
      </c>
      <c r="Q4" s="342" t="s">
        <v>204</v>
      </c>
      <c r="R4" s="342" t="s">
        <v>201</v>
      </c>
    </row>
    <row r="5" spans="2:28" x14ac:dyDescent="0.25">
      <c r="B5" t="s">
        <v>153</v>
      </c>
      <c r="C5" s="318">
        <f ca="1">E5</f>
        <v>249562</v>
      </c>
      <c r="D5" s="318">
        <f ca="1">F5</f>
        <v>222429</v>
      </c>
      <c r="E5" s="326" cm="1">
        <f t="array" aca="1" ref="E5" ca="1">_xlfn.XLOOKUP($B5,beneficios,INDIRECT("'"&amp;E$2&amp;"'!beneficios_"&amp;LOWER(E$3)))</f>
        <v>249562</v>
      </c>
      <c r="F5" s="329" cm="1">
        <f t="array" aca="1" ref="F5" ca="1">_xlfn.XLOOKUP($B5,beneficios,INDIRECT("'"&amp;F$2&amp;"'!beneficios_"&amp;LOWER(F$3)))</f>
        <v>222429</v>
      </c>
      <c r="G5" s="326" cm="1">
        <f t="array" aca="1" ref="G5" ca="1">_xlfn.XLOOKUP($B5,beneficios,INDIRECT("'"&amp;G$2&amp;"'!beneficios_"&amp;LOWER(G$3)))</f>
        <v>249562</v>
      </c>
      <c r="H5" s="329" cm="1">
        <f t="array" aca="1" ref="H5" ca="1">_xlfn.XLOOKUP($B5,beneficios,INDIRECT("'"&amp;H$2&amp;"'!beneficios_"&amp;LOWER(H$3)))</f>
        <v>222429</v>
      </c>
      <c r="I5" s="326" cm="1">
        <f t="array" aca="1" ref="I5" ca="1">_xlfn.XLOOKUP($B5,beneficios,INDIRECT("'"&amp;I$2&amp;"'!beneficios_"&amp;LOWER(I$3)))</f>
        <v>249562</v>
      </c>
      <c r="J5" s="329" cm="1">
        <f t="array" aca="1" ref="J5" ca="1">_xlfn.XLOOKUP($B5,beneficios,INDIRECT("'"&amp;J$2&amp;"'!beneficios_"&amp;LOWER(J$3)))</f>
        <v>222429</v>
      </c>
      <c r="K5" s="326" cm="1">
        <f t="array" aca="1" ref="K5" ca="1">_xlfn.XLOOKUP($B5,beneficios,INDIRECT("'"&amp;K$2&amp;"'!beneficios_"&amp;LOWER(K$3)))</f>
        <v>249562</v>
      </c>
      <c r="L5" s="329" cm="1">
        <f t="array" aca="1" ref="L5" ca="1">_xlfn.XLOOKUP($B5,beneficios,INDIRECT("'"&amp;L$2&amp;"'!beneficios_"&amp;LOWER(L$3)))</f>
        <v>222429</v>
      </c>
      <c r="M5" s="326" cm="1">
        <f t="array" aca="1" ref="M5" ca="1">_xlfn.XLOOKUP($B5,beneficios,INDIRECT("'"&amp;M$2&amp;"'!beneficios_"&amp;LOWER(M$3)))</f>
        <v>249562</v>
      </c>
      <c r="N5" s="329" cm="1">
        <f t="array" aca="1" ref="N5" ca="1">_xlfn.XLOOKUP($B5,beneficios,INDIRECT("'"&amp;N$2&amp;"'!beneficios_"&amp;LOWER(N$3)))</f>
        <v>222429</v>
      </c>
      <c r="P5">
        <v>1</v>
      </c>
      <c r="Q5">
        <v>1</v>
      </c>
    </row>
    <row r="6" spans="2:28" x14ac:dyDescent="0.25">
      <c r="B6" s="60" t="s">
        <v>150</v>
      </c>
      <c r="C6" s="318"/>
      <c r="D6" s="318"/>
      <c r="E6" s="326" cm="1">
        <f t="array" aca="1" ref="E6" ca="1">_xlfn.XLOOKUP($B6,beneficios,INDIRECT("'"&amp;E$2&amp;"'!beneficios_"&amp;LOWER(E$3)))</f>
        <v>1371</v>
      </c>
      <c r="F6" s="329" cm="1">
        <f t="array" aca="1" ref="F6" ca="1">_xlfn.XLOOKUP($B6,beneficios,INDIRECT("'"&amp;F$2&amp;"'!beneficios_"&amp;LOWER(F$3)))</f>
        <v>1222</v>
      </c>
      <c r="G6" s="326" cm="1">
        <f t="array" aca="1" ref="G6" ca="1">_xlfn.XLOOKUP($B6,beneficios,INDIRECT("'"&amp;G$2&amp;"'!beneficios_"&amp;LOWER(G$3)))</f>
        <v>50008</v>
      </c>
      <c r="H6" s="329" cm="1">
        <f t="array" aca="1" ref="H6" ca="1">_xlfn.XLOOKUP($B6,beneficios,INDIRECT("'"&amp;H$2&amp;"'!beneficios_"&amp;LOWER(H$3)))</f>
        <v>44571</v>
      </c>
      <c r="I6" s="326" cm="1">
        <f t="array" aca="1" ref="I6" ca="1">_xlfn.XLOOKUP($B6,beneficios,INDIRECT("'"&amp;I$2&amp;"'!beneficios_"&amp;LOWER(I$3)))</f>
        <v>17645</v>
      </c>
      <c r="J6" s="329" cm="1">
        <f t="array" aca="1" ref="J6" ca="1">_xlfn.XLOOKUP($B6,beneficios,INDIRECT("'"&amp;J$2&amp;"'!beneficios_"&amp;LOWER(J$3)))</f>
        <v>15726</v>
      </c>
      <c r="K6" s="326" cm="1">
        <f t="array" aca="1" ref="K6" ca="1">_xlfn.XLOOKUP($B6,beneficios,INDIRECT("'"&amp;K$2&amp;"'!beneficios_"&amp;LOWER(K$3)))</f>
        <v>26791</v>
      </c>
      <c r="L6" s="329" cm="1">
        <f t="array" aca="1" ref="L6" ca="1">_xlfn.XLOOKUP($B6,beneficios,INDIRECT("'"&amp;L$2&amp;"'!beneficios_"&amp;LOWER(L$3)))</f>
        <v>23878</v>
      </c>
      <c r="M6" s="326" cm="1">
        <f t="array" aca="1" ref="M6" ca="1">_xlfn.XLOOKUP($B6,beneficios,INDIRECT("'"&amp;M$2&amp;"'!beneficios_"&amp;LOWER(M$3)))</f>
        <v>36563</v>
      </c>
      <c r="N6" s="329" cm="1">
        <f t="array" aca="1" ref="N6" ca="1">_xlfn.XLOOKUP($B6,beneficios,INDIRECT("'"&amp;N$2&amp;"'!beneficios_"&amp;LOWER(N$3)))</f>
        <v>32587</v>
      </c>
      <c r="P6">
        <v>1</v>
      </c>
      <c r="Q6">
        <v>1</v>
      </c>
    </row>
    <row r="7" spans="2:28" x14ac:dyDescent="0.25">
      <c r="B7" s="60" t="s">
        <v>145</v>
      </c>
      <c r="C7" s="318"/>
      <c r="D7" s="318"/>
      <c r="E7" s="326" cm="1">
        <f t="array" aca="1" ref="E7" ca="1">_xlfn.XLOOKUP($B7,beneficios,INDIRECT("'"&amp;E$2&amp;"'!beneficios_"&amp;LOWER(E$3)))</f>
        <v>0</v>
      </c>
      <c r="F7" s="329" cm="1">
        <f t="array" aca="1" ref="F7" ca="1">_xlfn.XLOOKUP($B7,beneficios,INDIRECT("'"&amp;F$2&amp;"'!beneficios_"&amp;LOWER(F$3)))</f>
        <v>27283</v>
      </c>
      <c r="G7" s="326" cm="1">
        <f t="array" aca="1" ref="G7" ca="1">_xlfn.XLOOKUP($B7,beneficios,INDIRECT("'"&amp;G$2&amp;"'!beneficios_"&amp;LOWER(G$3)))</f>
        <v>0</v>
      </c>
      <c r="H7" s="329" cm="1">
        <f t="array" aca="1" ref="H7" ca="1">_xlfn.XLOOKUP($B7,beneficios,INDIRECT("'"&amp;H$2&amp;"'!beneficios_"&amp;LOWER(H$3)))</f>
        <v>0</v>
      </c>
      <c r="I7" s="326" cm="1">
        <f t="array" aca="1" ref="I7" ca="1">_xlfn.XLOOKUP($B7,beneficios,INDIRECT("'"&amp;I$2&amp;"'!beneficios_"&amp;LOWER(I$3)))</f>
        <v>0</v>
      </c>
      <c r="J7" s="329" cm="1">
        <f t="array" aca="1" ref="J7" ca="1">_xlfn.XLOOKUP($B7,beneficios,INDIRECT("'"&amp;J$2&amp;"'!beneficios_"&amp;LOWER(J$3)))</f>
        <v>29052</v>
      </c>
      <c r="K7" s="326" cm="1">
        <f t="array" aca="1" ref="K7" ca="1">_xlfn.XLOOKUP($B7,beneficios,INDIRECT("'"&amp;K$2&amp;"'!beneficios_"&amp;LOWER(K$3)))</f>
        <v>0</v>
      </c>
      <c r="L7" s="329" cm="1">
        <f t="array" aca="1" ref="L7" ca="1">_xlfn.XLOOKUP($B7,beneficios,INDIRECT("'"&amp;L$2&amp;"'!beneficios_"&amp;LOWER(L$3)))</f>
        <v>30046</v>
      </c>
      <c r="M7" s="326" cm="1">
        <f t="array" aca="1" ref="M7" ca="1">_xlfn.XLOOKUP($B7,beneficios,INDIRECT("'"&amp;M$2&amp;"'!beneficios_"&amp;LOWER(M$3)))</f>
        <v>0</v>
      </c>
      <c r="N7" s="329" cm="1">
        <f t="array" aca="1" ref="N7" ca="1">_xlfn.XLOOKUP($B7,beneficios,INDIRECT("'"&amp;N$2&amp;"'!beneficios_"&amp;LOWER(N$3)))</f>
        <v>31109</v>
      </c>
      <c r="Q7">
        <v>1</v>
      </c>
    </row>
    <row r="8" spans="2:28" x14ac:dyDescent="0.25">
      <c r="B8" s="150" t="s">
        <v>129</v>
      </c>
      <c r="C8" s="319">
        <f>MAX(0,MIN(PGU_actual,PGU_actual*(1-(C$18-P_inf)/(P_sup-P_inf))))</f>
        <v>206173</v>
      </c>
      <c r="D8" s="318">
        <f>MAX(0,MIN(PGU_actual,PGU_actual*(1-(D$18-P_inf)/(P_sup-P_inf))))</f>
        <v>206173</v>
      </c>
      <c r="E8" s="327"/>
      <c r="F8" s="330"/>
      <c r="G8" s="327"/>
      <c r="H8" s="330"/>
      <c r="I8" s="327"/>
      <c r="J8" s="330"/>
      <c r="K8" s="327"/>
      <c r="L8" s="330"/>
      <c r="M8" s="327"/>
      <c r="N8" s="330"/>
    </row>
    <row r="9" spans="2:28" x14ac:dyDescent="0.25">
      <c r="B9" s="150" t="s">
        <v>151</v>
      </c>
      <c r="C9" s="318"/>
      <c r="D9" s="318"/>
      <c r="E9" s="328">
        <f t="shared" ref="E9:N9" ca="1" si="0">MAX(0,MIN(PGU_ref,PGU_ref*(1-(SUM(E$18,E7,E10:E14)-P_inf)/(P_sup-P_inf))))</f>
        <v>250000</v>
      </c>
      <c r="F9" s="331">
        <f t="shared" ca="1" si="0"/>
        <v>250000</v>
      </c>
      <c r="G9" s="328">
        <f t="shared" ca="1" si="0"/>
        <v>250000</v>
      </c>
      <c r="H9" s="331">
        <f t="shared" ca="1" si="0"/>
        <v>250000</v>
      </c>
      <c r="I9" s="328">
        <f t="shared" ca="1" si="0"/>
        <v>250000</v>
      </c>
      <c r="J9" s="331">
        <f t="shared" ca="1" si="0"/>
        <v>250000</v>
      </c>
      <c r="K9" s="328">
        <f t="shared" ca="1" si="0"/>
        <v>250000</v>
      </c>
      <c r="L9" s="331">
        <f t="shared" ca="1" si="0"/>
        <v>250000</v>
      </c>
      <c r="M9" s="328">
        <f t="shared" ca="1" si="0"/>
        <v>250000</v>
      </c>
      <c r="N9" s="331">
        <f t="shared" ca="1" si="0"/>
        <v>250000</v>
      </c>
    </row>
    <row r="10" spans="2:28" x14ac:dyDescent="0.25">
      <c r="B10" t="s">
        <v>199</v>
      </c>
      <c r="C10" s="318"/>
      <c r="D10" s="318"/>
      <c r="E10" s="326" cm="1">
        <f t="array" aca="1" ref="E10" ca="1">_xlfn.XLOOKUP($B10,beneficios,INDIRECT("'"&amp;E$2&amp;"'!beneficios_"&amp;LOWER(E$3)))</f>
        <v>40867</v>
      </c>
      <c r="F10" s="329" cm="1">
        <f t="array" aca="1" ref="F10" ca="1">_xlfn.XLOOKUP($B10,beneficios,INDIRECT("'"&amp;F$2&amp;"'!beneficios_"&amp;LOWER(F$3)))</f>
        <v>40867</v>
      </c>
      <c r="G10" s="326" cm="1">
        <f t="array" aca="1" ref="G10" ca="1">_xlfn.XLOOKUP($B10,beneficios,INDIRECT("'"&amp;G$2&amp;"'!beneficios_"&amp;LOWER(G$3)))</f>
        <v>0</v>
      </c>
      <c r="H10" s="329" cm="1">
        <f t="array" aca="1" ref="H10" ca="1">_xlfn.XLOOKUP($B10,beneficios,INDIRECT("'"&amp;H$2&amp;"'!beneficios_"&amp;LOWER(H$3)))</f>
        <v>0</v>
      </c>
      <c r="I10" s="326" cm="1">
        <f t="array" aca="1" ref="I10" ca="1">_xlfn.XLOOKUP($B10,beneficios,INDIRECT("'"&amp;I$2&amp;"'!beneficios_"&amp;LOWER(I$3)))</f>
        <v>0</v>
      </c>
      <c r="J10" s="329" cm="1">
        <f t="array" aca="1" ref="J10" ca="1">_xlfn.XLOOKUP($B10,beneficios,INDIRECT("'"&amp;J$2&amp;"'!beneficios_"&amp;LOWER(J$3)))</f>
        <v>0</v>
      </c>
      <c r="K10" s="326" cm="1">
        <f t="array" aca="1" ref="K10" ca="1">_xlfn.XLOOKUP($B10,beneficios,INDIRECT("'"&amp;K$2&amp;"'!beneficios_"&amp;LOWER(K$3)))</f>
        <v>0</v>
      </c>
      <c r="L10" s="329" cm="1">
        <f t="array" aca="1" ref="L10" ca="1">_xlfn.XLOOKUP($B10,beneficios,INDIRECT("'"&amp;L$2&amp;"'!beneficios_"&amp;LOWER(L$3)))</f>
        <v>0</v>
      </c>
      <c r="M10" s="326" cm="1">
        <f t="array" aca="1" ref="M10" ca="1">_xlfn.XLOOKUP($B10,beneficios,INDIRECT("'"&amp;M$2&amp;"'!beneficios_"&amp;LOWER(M$3)))</f>
        <v>0</v>
      </c>
      <c r="N10" s="329" cm="1">
        <f t="array" aca="1" ref="N10" ca="1">_xlfn.XLOOKUP($B10,beneficios,INDIRECT("'"&amp;N$2&amp;"'!beneficios_"&amp;LOWER(N$3)))</f>
        <v>0</v>
      </c>
      <c r="Q10">
        <v>1</v>
      </c>
    </row>
    <row r="11" spans="2:28" x14ac:dyDescent="0.25">
      <c r="B11" t="s">
        <v>124</v>
      </c>
      <c r="C11" s="318"/>
      <c r="D11" s="318"/>
      <c r="E11" s="326" cm="1">
        <f t="array" aca="1" ref="E11" ca="1">_xlfn.XLOOKUP($B11,beneficios,INDIRECT("'"&amp;E$2&amp;"'!beneficios_"&amp;LOWER(E$3)))</f>
        <v>45051</v>
      </c>
      <c r="F11" s="329" cm="1">
        <f t="array" aca="1" ref="F11" ca="1">_xlfn.XLOOKUP($B11,beneficios,INDIRECT("'"&amp;F$2&amp;"'!beneficios_"&amp;LOWER(F$3)))</f>
        <v>45051</v>
      </c>
      <c r="G11" s="326" cm="1">
        <f t="array" aca="1" ref="G11" ca="1">_xlfn.XLOOKUP($B11,beneficios,INDIRECT("'"&amp;G$2&amp;"'!beneficios_"&amp;LOWER(G$3)))</f>
        <v>0</v>
      </c>
      <c r="H11" s="329" cm="1">
        <f t="array" aca="1" ref="H11" ca="1">_xlfn.XLOOKUP($B11,beneficios,INDIRECT("'"&amp;H$2&amp;"'!beneficios_"&amp;LOWER(H$3)))</f>
        <v>0</v>
      </c>
      <c r="I11" s="326" cm="1">
        <f t="array" aca="1" ref="I11" ca="1">_xlfn.XLOOKUP($B11,beneficios,INDIRECT("'"&amp;I$2&amp;"'!beneficios_"&amp;LOWER(I$3)))</f>
        <v>69837</v>
      </c>
      <c r="J11" s="329" cm="1">
        <f t="array" aca="1" ref="J11" ca="1">_xlfn.XLOOKUP($B11,beneficios,INDIRECT("'"&amp;J$2&amp;"'!beneficios_"&amp;LOWER(J$3)))</f>
        <v>77412</v>
      </c>
      <c r="K11" s="326" cm="1">
        <f t="array" aca="1" ref="K11" ca="1">_xlfn.XLOOKUP($B11,beneficios,INDIRECT("'"&amp;K$2&amp;"'!beneficios_"&amp;LOWER(K$3)))</f>
        <v>60883</v>
      </c>
      <c r="L11" s="329" cm="1">
        <f t="array" aca="1" ref="L11" ca="1">_xlfn.XLOOKUP($B11,beneficios,INDIRECT("'"&amp;L$2&amp;"'!beneficios_"&amp;LOWER(L$3)))</f>
        <v>72532</v>
      </c>
      <c r="M11" s="326" cm="1">
        <f t="array" aca="1" ref="M11" ca="1">_xlfn.XLOOKUP($B11,beneficios,INDIRECT("'"&amp;M$2&amp;"'!beneficios_"&amp;LOWER(M$3)))</f>
        <v>51304</v>
      </c>
      <c r="N11" s="329" cm="1">
        <f t="array" aca="1" ref="N11" ca="1">_xlfn.XLOOKUP($B11,beneficios,INDIRECT("'"&amp;N$2&amp;"'!beneficios_"&amp;LOWER(N$3)))</f>
        <v>67223</v>
      </c>
      <c r="Q11">
        <v>1</v>
      </c>
    </row>
    <row r="12" spans="2:28" x14ac:dyDescent="0.25">
      <c r="B12" t="s">
        <v>2</v>
      </c>
      <c r="C12" s="318"/>
      <c r="D12" s="318"/>
      <c r="E12" s="326" cm="1">
        <f t="array" aca="1" ref="E12" ca="1">_xlfn.XLOOKUP($B12,beneficios,INDIRECT("'"&amp;E$2&amp;"'!beneficios_"&amp;LOWER(E$3)))</f>
        <v>0</v>
      </c>
      <c r="F12" s="329" cm="1">
        <f t="array" aca="1" ref="F12" ca="1">_xlfn.XLOOKUP($B12,beneficios,INDIRECT("'"&amp;F$2&amp;"'!beneficios_"&amp;LOWER(F$3)))</f>
        <v>0</v>
      </c>
      <c r="G12" s="326" cm="1">
        <f t="array" aca="1" ref="G12" ca="1">_xlfn.XLOOKUP($B12,beneficios,INDIRECT("'"&amp;G$2&amp;"'!beneficios_"&amp;LOWER(G$3)))</f>
        <v>0</v>
      </c>
      <c r="H12" s="329" cm="1">
        <f t="array" aca="1" ref="H12" ca="1">_xlfn.XLOOKUP($B12,beneficios,INDIRECT("'"&amp;H$2&amp;"'!beneficios_"&amp;LOWER(H$3)))</f>
        <v>0</v>
      </c>
      <c r="I12" s="326" cm="1">
        <f t="array" aca="1" ref="I12" ca="1">_xlfn.XLOOKUP($B12,beneficios,INDIRECT("'"&amp;I$2&amp;"'!beneficios_"&amp;LOWER(I$3)))</f>
        <v>0</v>
      </c>
      <c r="J12" s="329" cm="1">
        <f t="array" aca="1" ref="J12" ca="1">_xlfn.XLOOKUP($B12,beneficios,INDIRECT("'"&amp;J$2&amp;"'!beneficios_"&amp;LOWER(J$3)))</f>
        <v>0</v>
      </c>
      <c r="K12" s="326" cm="1">
        <f t="array" aca="1" ref="K12" ca="1">_xlfn.XLOOKUP($B12,beneficios,INDIRECT("'"&amp;K$2&amp;"'!beneficios_"&amp;LOWER(K$3)))</f>
        <v>0</v>
      </c>
      <c r="L12" s="329" cm="1">
        <f t="array" aca="1" ref="L12" ca="1">_xlfn.XLOOKUP($B12,beneficios,INDIRECT("'"&amp;L$2&amp;"'!beneficios_"&amp;LOWER(L$3)))</f>
        <v>0</v>
      </c>
      <c r="M12" s="326" cm="1">
        <f t="array" aca="1" ref="M12" ca="1">_xlfn.XLOOKUP($B12,beneficios,INDIRECT("'"&amp;M$2&amp;"'!beneficios_"&amp;LOWER(M$3)))</f>
        <v>0</v>
      </c>
      <c r="N12" s="329" cm="1">
        <f t="array" aca="1" ref="N12" ca="1">_xlfn.XLOOKUP($B12,beneficios,INDIRECT("'"&amp;N$2&amp;"'!beneficios_"&amp;LOWER(N$3)))</f>
        <v>0</v>
      </c>
      <c r="Q12">
        <v>1</v>
      </c>
    </row>
    <row r="13" spans="2:28" x14ac:dyDescent="0.25">
      <c r="B13" t="s">
        <v>105</v>
      </c>
      <c r="C13" s="318"/>
      <c r="D13" s="318"/>
      <c r="E13" s="326" cm="1">
        <f t="array" aca="1" ref="E13" ca="1">_xlfn.XLOOKUP($B13,beneficios,INDIRECT("'"&amp;E$2&amp;"'!beneficios_"&amp;LOWER(E$3)))</f>
        <v>0</v>
      </c>
      <c r="F13" s="329" cm="1">
        <f t="array" aca="1" ref="F13" ca="1">_xlfn.XLOOKUP($B13,beneficios,INDIRECT("'"&amp;F$2&amp;"'!beneficios_"&amp;LOWER(F$3)))</f>
        <v>7379</v>
      </c>
      <c r="G13" s="326" cm="1">
        <f t="array" aca="1" ref="G13" ca="1">_xlfn.XLOOKUP($B13,beneficios,INDIRECT("'"&amp;G$2&amp;"'!beneficios_"&amp;LOWER(G$3)))</f>
        <v>0</v>
      </c>
      <c r="H13" s="329" cm="1">
        <f t="array" aca="1" ref="H13" ca="1">_xlfn.XLOOKUP($B13,beneficios,INDIRECT("'"&amp;H$2&amp;"'!beneficios_"&amp;LOWER(H$3)))</f>
        <v>0</v>
      </c>
      <c r="I13" s="326" cm="1">
        <f t="array" aca="1" ref="I13" ca="1">_xlfn.XLOOKUP($B13,beneficios,INDIRECT("'"&amp;I$2&amp;"'!beneficios_"&amp;LOWER(I$3)))</f>
        <v>0</v>
      </c>
      <c r="J13" s="329" cm="1">
        <f t="array" aca="1" ref="J13" ca="1">_xlfn.XLOOKUP($B13,beneficios,INDIRECT("'"&amp;J$2&amp;"'!beneficios_"&amp;LOWER(J$3)))</f>
        <v>4919</v>
      </c>
      <c r="K13" s="326" cm="1">
        <f t="array" aca="1" ref="K13" ca="1">_xlfn.XLOOKUP($B13,beneficios,INDIRECT("'"&amp;K$2&amp;"'!beneficios_"&amp;LOWER(K$3)))</f>
        <v>0</v>
      </c>
      <c r="L13" s="329" cm="1">
        <f t="array" aca="1" ref="L13" ca="1">_xlfn.XLOOKUP($B13,beneficios,INDIRECT("'"&amp;L$2&amp;"'!beneficios_"&amp;LOWER(L$3)))</f>
        <v>3690</v>
      </c>
      <c r="M13" s="326" cm="1">
        <f t="array" aca="1" ref="M13" ca="1">_xlfn.XLOOKUP($B13,beneficios,INDIRECT("'"&amp;M$2&amp;"'!beneficios_"&amp;LOWER(M$3)))</f>
        <v>0</v>
      </c>
      <c r="N13" s="329" cm="1">
        <f t="array" aca="1" ref="N13" ca="1">_xlfn.XLOOKUP($B13,beneficios,INDIRECT("'"&amp;N$2&amp;"'!beneficios_"&amp;LOWER(N$3)))</f>
        <v>2460</v>
      </c>
      <c r="Q13">
        <v>1</v>
      </c>
    </row>
    <row r="14" spans="2:28" x14ac:dyDescent="0.25">
      <c r="B14" t="s">
        <v>15</v>
      </c>
      <c r="C14" s="318"/>
      <c r="D14" s="318"/>
      <c r="E14" s="326" cm="1">
        <f t="array" aca="1" ref="E14" ca="1">_xlfn.XLOOKUP($B14,beneficios,INDIRECT("'"&amp;E$2&amp;"'!beneficios_"&amp;LOWER(E$3)))</f>
        <v>785</v>
      </c>
      <c r="F14" s="329" cm="1">
        <f t="array" aca="1" ref="F14" ca="1">_xlfn.XLOOKUP($B14,beneficios,INDIRECT("'"&amp;F$2&amp;"'!beneficios_"&amp;LOWER(F$3)))</f>
        <v>785</v>
      </c>
      <c r="G14" s="326" cm="1">
        <f t="array" aca="1" ref="G14" ca="1">_xlfn.XLOOKUP($B14,beneficios,INDIRECT("'"&amp;G$2&amp;"'!beneficios_"&amp;LOWER(G$3)))</f>
        <v>0</v>
      </c>
      <c r="H14" s="329" cm="1">
        <f t="array" aca="1" ref="H14" ca="1">_xlfn.XLOOKUP($B14,beneficios,INDIRECT("'"&amp;H$2&amp;"'!beneficios_"&amp;LOWER(H$3)))</f>
        <v>0</v>
      </c>
      <c r="I14" s="326" cm="1">
        <f t="array" aca="1" ref="I14" ca="1">_xlfn.XLOOKUP($B14,beneficios,INDIRECT("'"&amp;I$2&amp;"'!beneficios_"&amp;LOWER(I$3)))</f>
        <v>0</v>
      </c>
      <c r="J14" s="329" cm="1">
        <f t="array" aca="1" ref="J14" ca="1">_xlfn.XLOOKUP($B14,beneficios,INDIRECT("'"&amp;J$2&amp;"'!beneficios_"&amp;LOWER(J$3)))</f>
        <v>0</v>
      </c>
      <c r="K14" s="326" cm="1">
        <f t="array" aca="1" ref="K14" ca="1">_xlfn.XLOOKUP($B14,beneficios,INDIRECT("'"&amp;K$2&amp;"'!beneficios_"&amp;LOWER(K$3)))</f>
        <v>0</v>
      </c>
      <c r="L14" s="329" cm="1">
        <f t="array" aca="1" ref="L14" ca="1">_xlfn.XLOOKUP($B14,beneficios,INDIRECT("'"&amp;L$2&amp;"'!beneficios_"&amp;LOWER(L$3)))</f>
        <v>0</v>
      </c>
      <c r="M14" s="326" cm="1">
        <f t="array" aca="1" ref="M14" ca="1">_xlfn.XLOOKUP($B14,beneficios,INDIRECT("'"&amp;M$2&amp;"'!beneficios_"&amp;LOWER(M$3)))</f>
        <v>0</v>
      </c>
      <c r="N14" s="329" cm="1">
        <f t="array" aca="1" ref="N14" ca="1">_xlfn.XLOOKUP($B14,beneficios,INDIRECT("'"&amp;N$2&amp;"'!beneficios_"&amp;LOWER(N$3)))</f>
        <v>0</v>
      </c>
      <c r="Q14">
        <v>1</v>
      </c>
    </row>
    <row r="15" spans="2:28" x14ac:dyDescent="0.25">
      <c r="B15" s="43" t="s">
        <v>116</v>
      </c>
      <c r="C15" s="332">
        <f ca="1">SUM(C5:C14)</f>
        <v>455735</v>
      </c>
      <c r="D15" s="332">
        <f ca="1">SUM(D5:D14)</f>
        <v>428602</v>
      </c>
      <c r="E15" s="333">
        <f ca="1">SUM(E5:E14)</f>
        <v>587636</v>
      </c>
      <c r="F15" s="334">
        <f t="shared" ref="F15:N15" ca="1" si="1">SUM(F5:F14)</f>
        <v>595016</v>
      </c>
      <c r="G15" s="333">
        <f t="shared" ca="1" si="1"/>
        <v>549570</v>
      </c>
      <c r="H15" s="334">
        <f t="shared" ca="1" si="1"/>
        <v>517000</v>
      </c>
      <c r="I15" s="333">
        <f t="shared" ca="1" si="1"/>
        <v>587044</v>
      </c>
      <c r="J15" s="334">
        <f t="shared" ca="1" si="1"/>
        <v>599538</v>
      </c>
      <c r="K15" s="333">
        <f t="shared" ca="1" si="1"/>
        <v>587236</v>
      </c>
      <c r="L15" s="334">
        <f t="shared" ca="1" si="1"/>
        <v>602575</v>
      </c>
      <c r="M15" s="333">
        <f t="shared" ca="1" si="1"/>
        <v>587429</v>
      </c>
      <c r="N15" s="334">
        <f t="shared" ca="1" si="1"/>
        <v>605808</v>
      </c>
      <c r="R15">
        <v>1</v>
      </c>
    </row>
    <row r="18" spans="2:14" x14ac:dyDescent="0.25">
      <c r="B18" t="s">
        <v>257</v>
      </c>
      <c r="C18" s="315">
        <f>_xlfn.XLOOKUP(C$3,Esc_6c!$AE$2:$AF$2,Esc_6c!$AE$4:$AF$4)</f>
        <v>249562.18907357016</v>
      </c>
      <c r="D18" s="316">
        <f>_xlfn.XLOOKUP(D$3,Esc_6c!$AE$2:$AF$2,Esc_6c!$AE$4:$AF$4)</f>
        <v>158779.23425516335</v>
      </c>
      <c r="E18" s="335" cm="1">
        <f t="array" aca="1" ref="E18" ca="1">_xlfn.XLOOKUP(E$3,Esc_6c!$AE$2:$AF$2,INDIRECT("'"&amp;E$2&amp;"'!$AE$5:$AF$5"))</f>
        <v>250933.18255909981</v>
      </c>
      <c r="F18" s="335" cm="1">
        <f t="array" aca="1" ref="F18" ca="1">_xlfn.XLOOKUP(F$3,Esc_6c!$AE$2:$AF$2,INDIRECT("'"&amp;F$2&amp;"'!$AE$5:$AF$5"))</f>
        <v>160201.23226030706</v>
      </c>
      <c r="G18" s="335" cm="1">
        <f t="array" aca="1" ref="G18" ca="1">_xlfn.XLOOKUP(G$3,Esc_6c!$AE$2:$AF$2,INDIRECT("'"&amp;G$2&amp;"'!$AE$5:$AF$5"))</f>
        <v>299570.41554413165</v>
      </c>
      <c r="H18" s="335" cm="1">
        <f t="array" aca="1" ref="H18" ca="1">_xlfn.XLOOKUP(H$3,Esc_6c!$AE$2:$AF$2,INDIRECT("'"&amp;H$2&amp;"'!$AE$5:$AF$5"))</f>
        <v>186677.25361165812</v>
      </c>
      <c r="I18" s="335" cm="1">
        <f t="array" aca="1" ref="I18" ca="1">_xlfn.XLOOKUP(I$3,Esc_6c!$AE$2:$AF$2,INDIRECT("'"&amp;I$2&amp;"'!$AE$5:$AF$5"))</f>
        <v>267206.69392602227</v>
      </c>
      <c r="J18" s="335" cm="1">
        <f t="array" aca="1" ref="J18" ca="1">_xlfn.XLOOKUP(J$3,Esc_6c!$AE$2:$AF$2,INDIRECT("'"&amp;J$2&amp;"'!$AE$5:$AF$5"))</f>
        <v>168838.90436471647</v>
      </c>
      <c r="K18" s="335" cm="1">
        <f t="array" aca="1" ref="K18" ca="1">_xlfn.XLOOKUP(K$3,Esc_6c!$AE$2:$AF$2,INDIRECT("'"&amp;K$2&amp;"'!$AE$5:$AF$5"))</f>
        <v>276353.26577123004</v>
      </c>
      <c r="L18" s="335" cm="1">
        <f t="array" aca="1" ref="L18" ca="1">_xlfn.XLOOKUP(L$3,Esc_6c!$AE$2:$AF$2,INDIRECT("'"&amp;L$2&amp;"'!$AE$5:$AF$5"))</f>
        <v>173851.18700470045</v>
      </c>
      <c r="M18" s="335" cm="1">
        <f t="array" aca="1" ref="M18" ca="1">_xlfn.XLOOKUP(M$3,Esc_6c!$AE$2:$AF$2,INDIRECT("'"&amp;M$2&amp;"'!$AE$5:$AF$5"))</f>
        <v>286124.94281515543</v>
      </c>
      <c r="N18" s="335" cm="1">
        <f t="array" aca="1" ref="N18" ca="1">_xlfn.XLOOKUP(N$3,Esc_6c!$AE$2:$AF$2,INDIRECT("'"&amp;N$2&amp;"'!$AE$5:$AF$5"))</f>
        <v>179292.73299327644</v>
      </c>
    </row>
  </sheetData>
  <sheetProtection formatCells="0" deleteColumns="0" sort="0" autoFilter="0" pivotTables="0"/>
  <pageMargins left="0.7" right="0.7" top="0.75" bottom="0.75" header="0.3" footer="0.3"/>
  <pageSetup scale="2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8F3BA-41D6-4423-8B11-86B115CF7D4B}">
  <sheetPr codeName="Hoja16"/>
  <dimension ref="A1:R37"/>
  <sheetViews>
    <sheetView tabSelected="1" workbookViewId="0">
      <pane ySplit="1" topLeftCell="A2" activePane="bottomLeft" state="frozen"/>
      <selection pane="bottomLeft" activeCell="C5" sqref="C5"/>
    </sheetView>
  </sheetViews>
  <sheetFormatPr baseColWidth="10" defaultRowHeight="15" x14ac:dyDescent="0.25"/>
  <cols>
    <col min="2" max="2" width="44.28515625" customWidth="1"/>
    <col min="3" max="3" width="27.85546875" bestFit="1" customWidth="1"/>
    <col min="4" max="4" width="14.5703125" style="29" customWidth="1"/>
    <col min="5" max="5" width="14.5703125" bestFit="1" customWidth="1"/>
    <col min="6" max="6" width="14.5703125" customWidth="1"/>
  </cols>
  <sheetData>
    <row r="1" spans="1:18" x14ac:dyDescent="0.25">
      <c r="A1" s="43" t="s">
        <v>141</v>
      </c>
      <c r="B1" s="43" t="s">
        <v>202</v>
      </c>
      <c r="C1" s="43" t="s">
        <v>202</v>
      </c>
      <c r="D1" s="43" t="s">
        <v>203</v>
      </c>
      <c r="E1" s="272" t="s">
        <v>205</v>
      </c>
      <c r="F1" s="272" t="s">
        <v>249</v>
      </c>
      <c r="H1" t="s">
        <v>141</v>
      </c>
      <c r="I1" t="s">
        <v>241</v>
      </c>
    </row>
    <row r="2" spans="1:18" x14ac:dyDescent="0.25">
      <c r="A2" t="s">
        <v>110</v>
      </c>
      <c r="B2" s="5" t="s">
        <v>144</v>
      </c>
      <c r="C2" s="153" t="s">
        <v>242</v>
      </c>
      <c r="D2" s="151" t="s">
        <v>200</v>
      </c>
      <c r="E2" s="79">
        <f t="array" aca="1" ref="E2" ca="1">SUM(INDEX('Resumen Resultados'!$C$5:$N$15,,MATCH(1,('Resumen Resultados'!$C$4:$N$4=$B2)*('Resumen Resultados'!$C$3:$N$3=$A2),0))*INDEX('Resumen Resultados'!$P$5:$R$15,,MATCH($D2,'Resumen Resultados'!$P$4:$R$4,0)))</f>
        <v>249562</v>
      </c>
      <c r="F2" s="49">
        <f ca="1">E2/_xlfn.XLOOKUP($A2,tb_ult_rem[Sexo],tb_ult_rem[Últ. Rem])</f>
        <v>0.22634941481218118</v>
      </c>
      <c r="H2" t="s">
        <v>110</v>
      </c>
      <c r="I2" s="152">
        <f>ROUND(VLOOKUP(_xlfn.XLOOKUP(tb_ult_rem[[#This Row],[Sexo]],sexo_cnu,agno_ret),Esc_6c!$A$15:$B$134,2,FALSE),0)</f>
        <v>1102552</v>
      </c>
    </row>
    <row r="3" spans="1:18" x14ac:dyDescent="0.25">
      <c r="A3" t="s">
        <v>110</v>
      </c>
      <c r="B3" s="5" t="s">
        <v>144</v>
      </c>
      <c r="C3" s="153" t="s">
        <v>242</v>
      </c>
      <c r="D3" s="151" t="s">
        <v>204</v>
      </c>
      <c r="E3" s="79">
        <f t="array" aca="1" ref="E3" ca="1">SUM(INDEX('Resumen Resultados'!$C$5:$N$15,,MATCH(1,('Resumen Resultados'!$C$4:$N$4=$B3)*('Resumen Resultados'!$C$3:$N$3=$A3),0))*INDEX('Resumen Resultados'!$P$5:$R$15,,MATCH($D3,'Resumen Resultados'!$P$4:$R$4,0)))</f>
        <v>249562</v>
      </c>
      <c r="F3" s="49">
        <f ca="1">E3/_xlfn.XLOOKUP($A3,tb_ult_rem[Sexo],tb_ult_rem[Últ. Rem])</f>
        <v>0.22634941481218118</v>
      </c>
      <c r="H3" t="s">
        <v>111</v>
      </c>
      <c r="I3" s="152">
        <f>ROUND(VLOOKUP(_xlfn.XLOOKUP(tb_ult_rem[[#This Row],[Sexo]],sexo_cnu,agno_ret),Esc_6c!$A$15:$B$134,2,FALSE),0)</f>
        <v>1102552</v>
      </c>
    </row>
    <row r="4" spans="1:18" x14ac:dyDescent="0.25">
      <c r="A4" t="s">
        <v>110</v>
      </c>
      <c r="B4" s="5" t="s">
        <v>144</v>
      </c>
      <c r="C4" s="153" t="s">
        <v>242</v>
      </c>
      <c r="D4" s="151" t="s">
        <v>201</v>
      </c>
      <c r="E4" s="79">
        <f t="array" aca="1" ref="E4" ca="1">SUM(INDEX('Resumen Resultados'!$C$5:$N$15,,MATCH(1,('Resumen Resultados'!$C$4:$N$4=$B4)*('Resumen Resultados'!$C$3:$N$3=$A4),0))*INDEX('Resumen Resultados'!$P$5:$R$15,,MATCH($D4,'Resumen Resultados'!$P$4:$R$4,0)))</f>
        <v>455735</v>
      </c>
      <c r="F4" s="49">
        <f ca="1">E4/_xlfn.XLOOKUP($A4,tb_ult_rem[Sexo],tb_ult_rem[Últ. Rem])</f>
        <v>0.41334558370036062</v>
      </c>
      <c r="G4" s="2"/>
      <c r="H4" s="2"/>
      <c r="I4" s="2"/>
      <c r="J4" s="2"/>
    </row>
    <row r="5" spans="1:18" x14ac:dyDescent="0.25">
      <c r="A5" t="s">
        <v>110</v>
      </c>
      <c r="B5" s="5" t="s">
        <v>197</v>
      </c>
      <c r="C5" s="153" t="s">
        <v>258</v>
      </c>
      <c r="D5" s="151" t="s">
        <v>200</v>
      </c>
      <c r="E5" s="79">
        <f t="array" aca="1" ref="E5" ca="1">SUM(INDEX('Resumen Resultados'!$C$5:$N$15,,MATCH(1,('Resumen Resultados'!$C$4:$N$4=$B5)*('Resumen Resultados'!$C$3:$N$3=$A5),0))*INDEX('Resumen Resultados'!$P$5:$R$15,,MATCH($D5,'Resumen Resultados'!$P$4:$R$4,0)))</f>
        <v>250933</v>
      </c>
      <c r="F5" s="49">
        <f ca="1">E5/_xlfn.XLOOKUP($A5,tb_ult_rem[Sexo],tb_ult_rem[Últ. Rem])</f>
        <v>0.22759289357780857</v>
      </c>
      <c r="G5" s="2"/>
      <c r="H5" s="2"/>
      <c r="I5" s="2"/>
      <c r="J5" s="2"/>
    </row>
    <row r="6" spans="1:18" x14ac:dyDescent="0.25">
      <c r="A6" t="s">
        <v>110</v>
      </c>
      <c r="B6" s="5" t="s">
        <v>197</v>
      </c>
      <c r="C6" s="153" t="s">
        <v>258</v>
      </c>
      <c r="D6" s="151" t="s">
        <v>204</v>
      </c>
      <c r="E6" s="79">
        <f t="array" aca="1" ref="E6" ca="1">SUM(INDEX('Resumen Resultados'!$C$5:$N$15,,MATCH(1,('Resumen Resultados'!$C$4:$N$4=$B6)*('Resumen Resultados'!$C$3:$N$3=$A6),0))*INDEX('Resumen Resultados'!$P$5:$R$15,,MATCH($D6,'Resumen Resultados'!$P$4:$R$4,0)))</f>
        <v>337636</v>
      </c>
      <c r="F6" s="49">
        <f ca="1">E6/_xlfn.XLOOKUP($A6,tb_ult_rem[Sexo],tb_ult_rem[Últ. Rem])</f>
        <v>0.30623136142331608</v>
      </c>
      <c r="G6" s="2"/>
      <c r="H6" s="2"/>
      <c r="I6" s="2"/>
      <c r="J6" s="2"/>
    </row>
    <row r="7" spans="1:18" x14ac:dyDescent="0.25">
      <c r="A7" t="s">
        <v>110</v>
      </c>
      <c r="B7" s="5" t="s">
        <v>197</v>
      </c>
      <c r="C7" s="153" t="s">
        <v>258</v>
      </c>
      <c r="D7" s="151" t="s">
        <v>201</v>
      </c>
      <c r="E7" s="79">
        <f t="array" aca="1" ref="E7" ca="1">SUM(INDEX('Resumen Resultados'!$C$5:$N$15,,MATCH(1,('Resumen Resultados'!$C$4:$N$4=$B7)*('Resumen Resultados'!$C$3:$N$3=$A7),0))*INDEX('Resumen Resultados'!$P$5:$R$15,,MATCH($D7,'Resumen Resultados'!$P$4:$R$4,0)))</f>
        <v>587636</v>
      </c>
      <c r="F7" s="49">
        <f ca="1">E7/_xlfn.XLOOKUP($A7,tb_ult_rem[Sexo],tb_ult_rem[Últ. Rem])</f>
        <v>0.53297803641007413</v>
      </c>
      <c r="G7" s="2"/>
      <c r="H7" s="2"/>
      <c r="I7" s="2"/>
      <c r="J7" s="2"/>
    </row>
    <row r="8" spans="1:18" x14ac:dyDescent="0.25">
      <c r="A8" t="s">
        <v>110</v>
      </c>
      <c r="B8" s="5" t="s">
        <v>225</v>
      </c>
      <c r="C8" s="153" t="s">
        <v>259</v>
      </c>
      <c r="D8" s="151" t="s">
        <v>200</v>
      </c>
      <c r="E8" s="79">
        <f t="array" aca="1" ref="E8" ca="1">SUM(INDEX('Resumen Resultados'!$C$5:$N$15,,MATCH(1,('Resumen Resultados'!$C$4:$N$4=$B8)*('Resumen Resultados'!$C$3:$N$3=$A8),0))*INDEX('Resumen Resultados'!$P$5:$R$15,,MATCH($D8,'Resumen Resultados'!$P$4:$R$4,0)))</f>
        <v>267207</v>
      </c>
      <c r="F8" s="49">
        <f ca="1">E8/_xlfn.XLOOKUP($A8,tb_ult_rem[Sexo],tb_ult_rem[Últ. Rem])</f>
        <v>0.24235319513274658</v>
      </c>
      <c r="G8" s="2"/>
      <c r="H8" s="2"/>
      <c r="I8" s="2"/>
      <c r="J8" s="2"/>
    </row>
    <row r="9" spans="1:18" x14ac:dyDescent="0.25">
      <c r="A9" t="s">
        <v>110</v>
      </c>
      <c r="B9" s="5" t="s">
        <v>225</v>
      </c>
      <c r="C9" s="153" t="s">
        <v>259</v>
      </c>
      <c r="D9" s="151" t="s">
        <v>204</v>
      </c>
      <c r="E9" s="79">
        <f t="array" aca="1" ref="E9" ca="1">SUM(INDEX('Resumen Resultados'!$C$5:$N$15,,MATCH(1,('Resumen Resultados'!$C$4:$N$4=$B9)*('Resumen Resultados'!$C$3:$N$3=$A9),0))*INDEX('Resumen Resultados'!$P$5:$R$15,,MATCH($D9,'Resumen Resultados'!$P$4:$R$4,0)))</f>
        <v>337044</v>
      </c>
      <c r="F9" s="49">
        <f ca="1">E9/_xlfn.XLOOKUP($A9,tb_ult_rem[Sexo],tb_ult_rem[Últ. Rem])</f>
        <v>0.30569442529694746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x14ac:dyDescent="0.25">
      <c r="A10" t="s">
        <v>110</v>
      </c>
      <c r="B10" s="5" t="s">
        <v>225</v>
      </c>
      <c r="C10" s="153" t="s">
        <v>259</v>
      </c>
      <c r="D10" s="151" t="s">
        <v>201</v>
      </c>
      <c r="E10" s="79">
        <f t="array" aca="1" ref="E10" ca="1">SUM(INDEX('Resumen Resultados'!$C$5:$N$15,,MATCH(1,('Resumen Resultados'!$C$4:$N$4=$B10)*('Resumen Resultados'!$C$3:$N$3=$A10),0))*INDEX('Resumen Resultados'!$P$5:$R$15,,MATCH($D10,'Resumen Resultados'!$P$4:$R$4,0)))</f>
        <v>587044</v>
      </c>
      <c r="F10" s="49">
        <f ca="1">E10/_xlfn.XLOOKUP($A10,tb_ult_rem[Sexo],tb_ult_rem[Últ. Rem])</f>
        <v>0.53244110028370539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x14ac:dyDescent="0.25">
      <c r="A11" t="s">
        <v>110</v>
      </c>
      <c r="B11" s="5" t="s">
        <v>228</v>
      </c>
      <c r="C11" s="153" t="s">
        <v>260</v>
      </c>
      <c r="D11" s="151" t="s">
        <v>200</v>
      </c>
      <c r="E11" s="79">
        <f t="array" aca="1" ref="E11" ca="1">SUM(INDEX('Resumen Resultados'!$C$5:$N$15,,MATCH(1,('Resumen Resultados'!$C$4:$N$4=$B11)*('Resumen Resultados'!$C$3:$N$3=$A11),0))*INDEX('Resumen Resultados'!$P$5:$R$15,,MATCH($D11,'Resumen Resultados'!$P$4:$R$4,0)))</f>
        <v>276353</v>
      </c>
      <c r="F11" s="49">
        <f ca="1">E11/_xlfn.XLOOKUP($A11,tb_ult_rem[Sexo],tb_ult_rem[Últ. Rem])</f>
        <v>0.25064849549046214</v>
      </c>
      <c r="K11" s="2"/>
      <c r="L11" s="2"/>
      <c r="M11" s="2"/>
      <c r="N11" s="2"/>
      <c r="O11" s="2"/>
      <c r="P11" s="2"/>
      <c r="Q11" s="2"/>
      <c r="R11" s="2"/>
    </row>
    <row r="12" spans="1:18" x14ac:dyDescent="0.25">
      <c r="A12" t="s">
        <v>110</v>
      </c>
      <c r="B12" s="5" t="s">
        <v>228</v>
      </c>
      <c r="C12" s="153" t="s">
        <v>260</v>
      </c>
      <c r="D12" s="151" t="s">
        <v>204</v>
      </c>
      <c r="E12" s="79">
        <f t="array" aca="1" ref="E12" ca="1">SUM(INDEX('Resumen Resultados'!$C$5:$N$15,,MATCH(1,('Resumen Resultados'!$C$4:$N$4=$B12)*('Resumen Resultados'!$C$3:$N$3=$A12),0))*INDEX('Resumen Resultados'!$P$5:$R$15,,MATCH($D12,'Resumen Resultados'!$P$4:$R$4,0)))</f>
        <v>337236</v>
      </c>
      <c r="F12" s="49">
        <f ca="1">E12/_xlfn.XLOOKUP($A12,tb_ult_rem[Sexo],tb_ult_rem[Últ. Rem])</f>
        <v>0.30586856674333729</v>
      </c>
      <c r="K12" s="2"/>
      <c r="L12" s="2"/>
      <c r="M12" s="2"/>
      <c r="N12" s="2"/>
      <c r="O12" s="2"/>
      <c r="P12" s="2"/>
      <c r="Q12" s="2"/>
      <c r="R12" s="2"/>
    </row>
    <row r="13" spans="1:18" x14ac:dyDescent="0.25">
      <c r="A13" t="s">
        <v>110</v>
      </c>
      <c r="B13" s="5" t="s">
        <v>228</v>
      </c>
      <c r="C13" s="153" t="s">
        <v>260</v>
      </c>
      <c r="D13" s="151" t="s">
        <v>201</v>
      </c>
      <c r="E13" s="79">
        <f t="array" aca="1" ref="E13" ca="1">SUM(INDEX('Resumen Resultados'!$C$5:$N$15,,MATCH(1,('Resumen Resultados'!$C$4:$N$4=$B13)*('Resumen Resultados'!$C$3:$N$3=$A13),0))*INDEX('Resumen Resultados'!$P$5:$R$15,,MATCH($D13,'Resumen Resultados'!$P$4:$R$4,0)))</f>
        <v>587236</v>
      </c>
      <c r="F13" s="49">
        <f ca="1">E13/_xlfn.XLOOKUP($A13,tb_ult_rem[Sexo],tb_ult_rem[Últ. Rem])</f>
        <v>0.53261524173009522</v>
      </c>
      <c r="K13" s="2"/>
      <c r="L13" s="2"/>
      <c r="M13" s="2"/>
      <c r="N13" s="2"/>
      <c r="O13" s="2"/>
      <c r="P13" s="2"/>
      <c r="Q13" s="2"/>
      <c r="R13" s="2"/>
    </row>
    <row r="14" spans="1:18" x14ac:dyDescent="0.25">
      <c r="A14" t="s">
        <v>110</v>
      </c>
      <c r="B14" s="5" t="s">
        <v>244</v>
      </c>
      <c r="C14" s="153" t="s">
        <v>261</v>
      </c>
      <c r="D14" s="151" t="s">
        <v>200</v>
      </c>
      <c r="E14" s="79">
        <f t="array" aca="1" ref="E14" ca="1">SUM(INDEX('Resumen Resultados'!$C$5:$N$15,,MATCH(1,('Resumen Resultados'!$C$4:$N$4=$B14)*('Resumen Resultados'!$C$3:$N$3=$A14),0))*INDEX('Resumen Resultados'!$P$5:$R$15,,MATCH($D14,'Resumen Resultados'!$P$4:$R$4,0)))</f>
        <v>286125</v>
      </c>
      <c r="F14" s="49">
        <f ca="1">E14/_xlfn.XLOOKUP($A14,tb_ult_rem[Sexo],tb_ult_rem[Últ. Rem])</f>
        <v>0.2595115695223445</v>
      </c>
      <c r="K14" s="2"/>
      <c r="L14" s="2"/>
      <c r="M14" s="2"/>
      <c r="N14" s="2"/>
      <c r="O14" s="2"/>
      <c r="P14" s="2"/>
      <c r="Q14" s="2"/>
      <c r="R14" s="2"/>
    </row>
    <row r="15" spans="1:18" x14ac:dyDescent="0.25">
      <c r="A15" t="s">
        <v>110</v>
      </c>
      <c r="B15" s="5" t="s">
        <v>244</v>
      </c>
      <c r="C15" s="153" t="s">
        <v>261</v>
      </c>
      <c r="D15" s="151" t="s">
        <v>204</v>
      </c>
      <c r="E15" s="79">
        <f t="array" aca="1" ref="E15" ca="1">SUM(INDEX('Resumen Resultados'!$C$5:$N$15,,MATCH(1,('Resumen Resultados'!$C$4:$N$4=$B15)*('Resumen Resultados'!$C$3:$N$3=$A15),0))*INDEX('Resumen Resultados'!$P$5:$R$15,,MATCH($D15,'Resumen Resultados'!$P$4:$R$4,0)))</f>
        <v>337429</v>
      </c>
      <c r="F15" s="49">
        <f ca="1">E15/_xlfn.XLOOKUP($A15,tb_ult_rem[Sexo],tb_ult_rem[Últ. Rem])</f>
        <v>0.30604361517642703</v>
      </c>
      <c r="K15" s="2"/>
      <c r="L15" s="2"/>
      <c r="M15" s="2"/>
      <c r="N15" s="2"/>
      <c r="O15" s="2"/>
      <c r="P15" s="2"/>
      <c r="Q15" s="2"/>
      <c r="R15" s="2"/>
    </row>
    <row r="16" spans="1:18" x14ac:dyDescent="0.25">
      <c r="A16" t="s">
        <v>110</v>
      </c>
      <c r="B16" s="5" t="s">
        <v>244</v>
      </c>
      <c r="C16" s="153" t="s">
        <v>261</v>
      </c>
      <c r="D16" s="151" t="s">
        <v>201</v>
      </c>
      <c r="E16" s="79">
        <f t="array" aca="1" ref="E16" ca="1">SUM(INDEX('Resumen Resultados'!$C$5:$N$15,,MATCH(1,('Resumen Resultados'!$C$4:$N$4=$B16)*('Resumen Resultados'!$C$3:$N$3=$A16),0))*INDEX('Resumen Resultados'!$P$5:$R$15,,MATCH($D16,'Resumen Resultados'!$P$4:$R$4,0)))</f>
        <v>587429</v>
      </c>
      <c r="F16" s="49">
        <f ca="1">E16/_xlfn.XLOOKUP($A16,tb_ult_rem[Sexo],tb_ult_rem[Últ. Rem])</f>
        <v>0.53279029016318502</v>
      </c>
      <c r="K16" s="2"/>
      <c r="L16" s="2"/>
      <c r="M16" s="2"/>
      <c r="N16" s="2"/>
      <c r="O16" s="2"/>
      <c r="P16" s="2"/>
      <c r="Q16" s="2"/>
      <c r="R16" s="2"/>
    </row>
    <row r="17" spans="1:18" x14ac:dyDescent="0.25">
      <c r="A17" t="s">
        <v>110</v>
      </c>
      <c r="B17" s="5" t="s">
        <v>198</v>
      </c>
      <c r="C17" s="153" t="s">
        <v>262</v>
      </c>
      <c r="D17" s="151" t="s">
        <v>200</v>
      </c>
      <c r="E17" s="79">
        <f t="array" aca="1" ref="E17" ca="1">SUM(INDEX('Resumen Resultados'!$C$5:$N$15,,MATCH(1,('Resumen Resultados'!$C$4:$N$4=$B17)*('Resumen Resultados'!$C$3:$N$3=$A17),0))*INDEX('Resumen Resultados'!$P$5:$R$15,,MATCH($D17,'Resumen Resultados'!$P$4:$R$4,0)))</f>
        <v>299570</v>
      </c>
      <c r="F17" s="49">
        <f ca="1">E17/_xlfn.XLOOKUP($A17,tb_ult_rem[Sexo],tb_ult_rem[Últ. Rem])</f>
        <v>0.27170600570313236</v>
      </c>
      <c r="K17" s="2"/>
      <c r="L17" s="2"/>
      <c r="M17" s="2"/>
      <c r="N17" s="2"/>
      <c r="O17" s="2"/>
      <c r="P17" s="2"/>
      <c r="Q17" s="2"/>
      <c r="R17" s="2"/>
    </row>
    <row r="18" spans="1:18" x14ac:dyDescent="0.25">
      <c r="A18" t="s">
        <v>110</v>
      </c>
      <c r="B18" s="5" t="s">
        <v>198</v>
      </c>
      <c r="C18" s="153" t="s">
        <v>262</v>
      </c>
      <c r="D18" s="151" t="s">
        <v>204</v>
      </c>
      <c r="E18" s="79">
        <f t="array" aca="1" ref="E18" ca="1">SUM(INDEX('Resumen Resultados'!$C$5:$N$15,,MATCH(1,('Resumen Resultados'!$C$4:$N$4=$B18)*('Resumen Resultados'!$C$3:$N$3=$A18),0))*INDEX('Resumen Resultados'!$P$5:$R$15,,MATCH($D18,'Resumen Resultados'!$P$4:$R$4,0)))</f>
        <v>299570</v>
      </c>
      <c r="F18" s="49">
        <f ca="1">E18/_xlfn.XLOOKUP($A18,tb_ult_rem[Sexo],tb_ult_rem[Últ. Rem])</f>
        <v>0.27170600570313236</v>
      </c>
      <c r="K18" s="2"/>
      <c r="L18" s="2"/>
      <c r="M18" s="2"/>
      <c r="N18" s="2"/>
      <c r="O18" s="2"/>
      <c r="P18" s="2"/>
      <c r="Q18" s="2"/>
      <c r="R18" s="2"/>
    </row>
    <row r="19" spans="1:18" x14ac:dyDescent="0.25">
      <c r="A19" t="s">
        <v>110</v>
      </c>
      <c r="B19" s="5" t="s">
        <v>198</v>
      </c>
      <c r="C19" s="153" t="s">
        <v>262</v>
      </c>
      <c r="D19" s="151" t="s">
        <v>201</v>
      </c>
      <c r="E19" s="79">
        <f t="array" aca="1" ref="E19" ca="1">SUM(INDEX('Resumen Resultados'!$C$5:$N$15,,MATCH(1,('Resumen Resultados'!$C$4:$N$4=$B19)*('Resumen Resultados'!$C$3:$N$3=$A19),0))*INDEX('Resumen Resultados'!$P$5:$R$15,,MATCH($D19,'Resumen Resultados'!$P$4:$R$4,0)))</f>
        <v>549570</v>
      </c>
      <c r="F19" s="49">
        <f ca="1">E19/_xlfn.XLOOKUP($A19,tb_ult_rem[Sexo],tb_ult_rem[Últ. Rem])</f>
        <v>0.49845268068989035</v>
      </c>
      <c r="K19" s="2"/>
      <c r="L19" s="2"/>
      <c r="M19" s="2"/>
      <c r="N19" s="2"/>
      <c r="O19" s="2"/>
      <c r="P19" s="2"/>
      <c r="Q19" s="2"/>
      <c r="R19" s="2"/>
    </row>
    <row r="20" spans="1:18" x14ac:dyDescent="0.25">
      <c r="A20" t="s">
        <v>111</v>
      </c>
      <c r="B20" s="5" t="s">
        <v>144</v>
      </c>
      <c r="C20" s="153" t="s">
        <v>242</v>
      </c>
      <c r="D20" s="151" t="s">
        <v>200</v>
      </c>
      <c r="E20" s="79">
        <f t="array" aca="1" ref="E20" ca="1">SUM(INDEX('Resumen Resultados'!$C$5:$N$15,,MATCH(1,('Resumen Resultados'!$C$4:$N$4=$B20)*('Resumen Resultados'!$C$3:$N$3=$A20),0))*INDEX('Resumen Resultados'!$P$5:$R$15,,MATCH($D20,'Resumen Resultados'!$P$4:$R$4,0)))</f>
        <v>222429</v>
      </c>
      <c r="F20" s="49">
        <f ca="1">E20/_xlfn.XLOOKUP($A20,tb_ult_rem[Sexo],tb_ult_rem[Últ. Rem])</f>
        <v>0.20174014468251839</v>
      </c>
      <c r="K20" s="2"/>
      <c r="L20" s="2"/>
      <c r="M20" s="2"/>
      <c r="N20" s="2"/>
      <c r="O20" s="2"/>
      <c r="P20" s="2"/>
      <c r="Q20" s="2"/>
      <c r="R20" s="2"/>
    </row>
    <row r="21" spans="1:18" x14ac:dyDescent="0.25">
      <c r="A21" t="s">
        <v>111</v>
      </c>
      <c r="B21" s="5" t="s">
        <v>144</v>
      </c>
      <c r="C21" s="153" t="s">
        <v>242</v>
      </c>
      <c r="D21" s="151" t="s">
        <v>204</v>
      </c>
      <c r="E21" s="79">
        <f t="array" aca="1" ref="E21" ca="1">SUM(INDEX('Resumen Resultados'!$C$5:$N$15,,MATCH(1,('Resumen Resultados'!$C$4:$N$4=$B21)*('Resumen Resultados'!$C$3:$N$3=$A21),0))*INDEX('Resumen Resultados'!$P$5:$R$15,,MATCH($D21,'Resumen Resultados'!$P$4:$R$4,0)))</f>
        <v>222429</v>
      </c>
      <c r="F21" s="49">
        <f ca="1">E21/_xlfn.XLOOKUP($A21,tb_ult_rem[Sexo],tb_ult_rem[Últ. Rem])</f>
        <v>0.20174014468251839</v>
      </c>
      <c r="K21" s="2"/>
      <c r="L21" s="2"/>
      <c r="M21" s="2"/>
      <c r="N21" s="2"/>
      <c r="O21" s="2"/>
      <c r="P21" s="2"/>
      <c r="Q21" s="2"/>
      <c r="R21" s="2"/>
    </row>
    <row r="22" spans="1:18" x14ac:dyDescent="0.25">
      <c r="A22" t="s">
        <v>111</v>
      </c>
      <c r="B22" s="5" t="s">
        <v>144</v>
      </c>
      <c r="C22" s="153" t="s">
        <v>242</v>
      </c>
      <c r="D22" s="151" t="s">
        <v>201</v>
      </c>
      <c r="E22" s="79">
        <f t="array" aca="1" ref="E22" ca="1">SUM(INDEX('Resumen Resultados'!$C$5:$N$15,,MATCH(1,('Resumen Resultados'!$C$4:$N$4=$B22)*('Resumen Resultados'!$C$3:$N$3=$A22),0))*INDEX('Resumen Resultados'!$P$5:$R$15,,MATCH($D22,'Resumen Resultados'!$P$4:$R$4,0)))</f>
        <v>428602</v>
      </c>
      <c r="F22" s="49">
        <f ca="1">E22/_xlfn.XLOOKUP($A22,tb_ult_rem[Sexo],tb_ult_rem[Últ. Rem])</f>
        <v>0.38873631357069782</v>
      </c>
      <c r="K22" s="2"/>
      <c r="L22" s="2"/>
      <c r="M22" s="2"/>
      <c r="N22" s="2"/>
      <c r="O22" s="2"/>
      <c r="P22" s="2"/>
      <c r="Q22" s="2"/>
      <c r="R22" s="2"/>
    </row>
    <row r="23" spans="1:18" x14ac:dyDescent="0.25">
      <c r="A23" t="s">
        <v>111</v>
      </c>
      <c r="B23" s="5" t="s">
        <v>197</v>
      </c>
      <c r="C23" s="153" t="s">
        <v>258</v>
      </c>
      <c r="D23" s="151" t="s">
        <v>200</v>
      </c>
      <c r="E23" s="79">
        <f t="array" aca="1" ref="E23" ca="1">SUM(INDEX('Resumen Resultados'!$C$5:$N$15,,MATCH(1,('Resumen Resultados'!$C$4:$N$4=$B23)*('Resumen Resultados'!$C$3:$N$3=$A23),0))*INDEX('Resumen Resultados'!$P$5:$R$15,,MATCH($D23,'Resumen Resultados'!$P$4:$R$4,0)))</f>
        <v>223651</v>
      </c>
      <c r="F23" s="49">
        <f ca="1">E23/_xlfn.XLOOKUP($A23,tb_ult_rem[Sexo],tb_ult_rem[Últ. Rem])</f>
        <v>0.20284848242985365</v>
      </c>
    </row>
    <row r="24" spans="1:18" x14ac:dyDescent="0.25">
      <c r="A24" t="s">
        <v>111</v>
      </c>
      <c r="B24" s="5" t="s">
        <v>197</v>
      </c>
      <c r="C24" s="153" t="s">
        <v>258</v>
      </c>
      <c r="D24" s="151" t="s">
        <v>204</v>
      </c>
      <c r="E24" s="79">
        <f t="array" aca="1" ref="E24" ca="1">SUM(INDEX('Resumen Resultados'!$C$5:$N$15,,MATCH(1,('Resumen Resultados'!$C$4:$N$4=$B24)*('Resumen Resultados'!$C$3:$N$3=$A24),0))*INDEX('Resumen Resultados'!$P$5:$R$15,,MATCH($D24,'Resumen Resultados'!$P$4:$R$4,0)))</f>
        <v>345016</v>
      </c>
      <c r="F24" s="49">
        <f ca="1">E24/_xlfn.XLOOKUP($A24,tb_ult_rem[Sexo],tb_ult_rem[Últ. Rem])</f>
        <v>0.31292492326892518</v>
      </c>
    </row>
    <row r="25" spans="1:18" x14ac:dyDescent="0.25">
      <c r="A25" t="s">
        <v>111</v>
      </c>
      <c r="B25" s="5" t="s">
        <v>197</v>
      </c>
      <c r="C25" s="153" t="s">
        <v>258</v>
      </c>
      <c r="D25" s="151" t="s">
        <v>201</v>
      </c>
      <c r="E25" s="79">
        <f t="array" aca="1" ref="E25" ca="1">SUM(INDEX('Resumen Resultados'!$C$5:$N$15,,MATCH(1,('Resumen Resultados'!$C$4:$N$4=$B25)*('Resumen Resultados'!$C$3:$N$3=$A25),0))*INDEX('Resumen Resultados'!$P$5:$R$15,,MATCH($D25,'Resumen Resultados'!$P$4:$R$4,0)))</f>
        <v>595016</v>
      </c>
      <c r="F25" s="49">
        <f ca="1">E25/_xlfn.XLOOKUP($A25,tb_ult_rem[Sexo],tb_ult_rem[Últ. Rem])</f>
        <v>0.53967159825568323</v>
      </c>
    </row>
    <row r="26" spans="1:18" x14ac:dyDescent="0.25">
      <c r="A26" t="s">
        <v>111</v>
      </c>
      <c r="B26" s="5" t="s">
        <v>225</v>
      </c>
      <c r="C26" s="153" t="s">
        <v>259</v>
      </c>
      <c r="D26" s="151" t="s">
        <v>200</v>
      </c>
      <c r="E26" s="79">
        <f t="array" aca="1" ref="E26" ca="1">SUM(INDEX('Resumen Resultados'!$C$5:$N$15,,MATCH(1,('Resumen Resultados'!$C$4:$N$4=$B26)*('Resumen Resultados'!$C$3:$N$3=$A26),0))*INDEX('Resumen Resultados'!$P$5:$R$15,,MATCH($D26,'Resumen Resultados'!$P$4:$R$4,0)))</f>
        <v>238155</v>
      </c>
      <c r="F26" s="49">
        <f ca="1">E26/_xlfn.XLOOKUP($A26,tb_ult_rem[Sexo],tb_ult_rem[Últ. Rem])</f>
        <v>0.21600341752588539</v>
      </c>
    </row>
    <row r="27" spans="1:18" x14ac:dyDescent="0.25">
      <c r="A27" t="s">
        <v>111</v>
      </c>
      <c r="B27" s="5" t="s">
        <v>225</v>
      </c>
      <c r="C27" s="153" t="s">
        <v>259</v>
      </c>
      <c r="D27" s="151" t="s">
        <v>204</v>
      </c>
      <c r="E27" s="79">
        <f t="array" aca="1" ref="E27" ca="1">SUM(INDEX('Resumen Resultados'!$C$5:$N$15,,MATCH(1,('Resumen Resultados'!$C$4:$N$4=$B27)*('Resumen Resultados'!$C$3:$N$3=$A27),0))*INDEX('Resumen Resultados'!$P$5:$R$15,,MATCH($D27,'Resumen Resultados'!$P$4:$R$4,0)))</f>
        <v>349538</v>
      </c>
      <c r="F27" s="49">
        <f ca="1">E27/_xlfn.XLOOKUP($A27,tb_ult_rem[Sexo],tb_ult_rem[Últ. Rem])</f>
        <v>0.31702631712608564</v>
      </c>
    </row>
    <row r="28" spans="1:18" x14ac:dyDescent="0.25">
      <c r="A28" t="s">
        <v>111</v>
      </c>
      <c r="B28" s="5" t="s">
        <v>225</v>
      </c>
      <c r="C28" s="153" t="s">
        <v>259</v>
      </c>
      <c r="D28" s="151" t="s">
        <v>201</v>
      </c>
      <c r="E28" s="79">
        <f t="array" aca="1" ref="E28" ca="1">SUM(INDEX('Resumen Resultados'!$C$5:$N$15,,MATCH(1,('Resumen Resultados'!$C$4:$N$4=$B28)*('Resumen Resultados'!$C$3:$N$3=$A28),0))*INDEX('Resumen Resultados'!$P$5:$R$15,,MATCH($D28,'Resumen Resultados'!$P$4:$R$4,0)))</f>
        <v>599538</v>
      </c>
      <c r="F28" s="49">
        <f ca="1">E28/_xlfn.XLOOKUP($A28,tb_ult_rem[Sexo],tb_ult_rem[Últ. Rem])</f>
        <v>0.54377299211284369</v>
      </c>
    </row>
    <row r="29" spans="1:18" x14ac:dyDescent="0.25">
      <c r="A29" t="s">
        <v>111</v>
      </c>
      <c r="B29" s="5" t="s">
        <v>228</v>
      </c>
      <c r="C29" s="153" t="s">
        <v>260</v>
      </c>
      <c r="D29" s="151" t="s">
        <v>200</v>
      </c>
      <c r="E29" s="79">
        <f t="array" aca="1" ref="E29" ca="1">SUM(INDEX('Resumen Resultados'!$C$5:$N$15,,MATCH(1,('Resumen Resultados'!$C$4:$N$4=$B29)*('Resumen Resultados'!$C$3:$N$3=$A29),0))*INDEX('Resumen Resultados'!$P$5:$R$15,,MATCH($D29,'Resumen Resultados'!$P$4:$R$4,0)))</f>
        <v>246307</v>
      </c>
      <c r="F29" s="49">
        <f ca="1">E29/_xlfn.XLOOKUP($A29,tb_ult_rem[Sexo],tb_ult_rem[Últ. Rem])</f>
        <v>0.2233971731038536</v>
      </c>
    </row>
    <row r="30" spans="1:18" x14ac:dyDescent="0.25">
      <c r="A30" t="s">
        <v>111</v>
      </c>
      <c r="B30" s="5" t="s">
        <v>228</v>
      </c>
      <c r="C30" s="153" t="s">
        <v>260</v>
      </c>
      <c r="D30" s="151" t="s">
        <v>204</v>
      </c>
      <c r="E30" s="79">
        <f t="array" aca="1" ref="E30" ca="1">SUM(INDEX('Resumen Resultados'!$C$5:$N$15,,MATCH(1,('Resumen Resultados'!$C$4:$N$4=$B30)*('Resumen Resultados'!$C$3:$N$3=$A30),0))*INDEX('Resumen Resultados'!$P$5:$R$15,,MATCH($D30,'Resumen Resultados'!$P$4:$R$4,0)))</f>
        <v>352575</v>
      </c>
      <c r="F30" s="49">
        <f ca="1">E30/_xlfn.XLOOKUP($A30,tb_ult_rem[Sexo],tb_ult_rem[Últ. Rem])</f>
        <v>0.31978083573382482</v>
      </c>
    </row>
    <row r="31" spans="1:18" x14ac:dyDescent="0.25">
      <c r="A31" t="s">
        <v>111</v>
      </c>
      <c r="B31" s="5" t="s">
        <v>228</v>
      </c>
      <c r="C31" s="153" t="s">
        <v>260</v>
      </c>
      <c r="D31" s="151" t="s">
        <v>201</v>
      </c>
      <c r="E31" s="79">
        <f t="array" aca="1" ref="E31" ca="1">SUM(INDEX('Resumen Resultados'!$C$5:$N$15,,MATCH(1,('Resumen Resultados'!$C$4:$N$4=$B31)*('Resumen Resultados'!$C$3:$N$3=$A31),0))*INDEX('Resumen Resultados'!$P$5:$R$15,,MATCH($D31,'Resumen Resultados'!$P$4:$R$4,0)))</f>
        <v>602575</v>
      </c>
      <c r="F31" s="49">
        <f ca="1">E31/_xlfn.XLOOKUP($A31,tb_ult_rem[Sexo],tb_ult_rem[Últ. Rem])</f>
        <v>0.54652751072058281</v>
      </c>
    </row>
    <row r="32" spans="1:18" x14ac:dyDescent="0.25">
      <c r="A32" t="s">
        <v>111</v>
      </c>
      <c r="B32" s="5" t="s">
        <v>244</v>
      </c>
      <c r="C32" s="153" t="s">
        <v>261</v>
      </c>
      <c r="D32" s="151" t="s">
        <v>200</v>
      </c>
      <c r="E32" s="79">
        <f t="array" aca="1" ref="E32" ca="1">SUM(INDEX('Resumen Resultados'!$C$5:$N$15,,MATCH(1,('Resumen Resultados'!$C$4:$N$4=$B32)*('Resumen Resultados'!$C$3:$N$3=$A32),0))*INDEX('Resumen Resultados'!$P$5:$R$15,,MATCH($D32,'Resumen Resultados'!$P$4:$R$4,0)))</f>
        <v>255016</v>
      </c>
      <c r="F32" s="49">
        <f ca="1">E32/_xlfn.XLOOKUP($A32,tb_ult_rem[Sexo],tb_ult_rem[Últ. Rem])</f>
        <v>0.23129612027369231</v>
      </c>
    </row>
    <row r="33" spans="1:10" x14ac:dyDescent="0.25">
      <c r="A33" t="s">
        <v>111</v>
      </c>
      <c r="B33" s="5" t="s">
        <v>244</v>
      </c>
      <c r="C33" s="153" t="s">
        <v>261</v>
      </c>
      <c r="D33" s="151" t="s">
        <v>204</v>
      </c>
      <c r="E33" s="79">
        <f t="array" aca="1" ref="E33" ca="1">SUM(INDEX('Resumen Resultados'!$C$5:$N$15,,MATCH(1,('Resumen Resultados'!$C$4:$N$4=$B33)*('Resumen Resultados'!$C$3:$N$3=$A33),0))*INDEX('Resumen Resultados'!$P$5:$R$15,,MATCH($D33,'Resumen Resultados'!$P$4:$R$4,0)))</f>
        <v>355808</v>
      </c>
      <c r="F33" s="49">
        <f ca="1">E33/_xlfn.XLOOKUP($A33,tb_ult_rem[Sexo],tb_ult_rem[Últ. Rem])</f>
        <v>0.32271312373475353</v>
      </c>
    </row>
    <row r="34" spans="1:10" x14ac:dyDescent="0.25">
      <c r="A34" t="s">
        <v>111</v>
      </c>
      <c r="B34" s="5" t="s">
        <v>244</v>
      </c>
      <c r="C34" s="153" t="s">
        <v>261</v>
      </c>
      <c r="D34" s="151" t="s">
        <v>201</v>
      </c>
      <c r="E34" s="79">
        <f t="array" aca="1" ref="E34" ca="1">SUM(INDEX('Resumen Resultados'!$C$5:$N$15,,MATCH(1,('Resumen Resultados'!$C$4:$N$4=$B34)*('Resumen Resultados'!$C$3:$N$3=$A34),0))*INDEX('Resumen Resultados'!$P$5:$R$15,,MATCH($D34,'Resumen Resultados'!$P$4:$R$4,0)))</f>
        <v>605808</v>
      </c>
      <c r="F34" s="49">
        <f ca="1">E34/_xlfn.XLOOKUP($A34,tb_ult_rem[Sexo],tb_ult_rem[Últ. Rem])</f>
        <v>0.54945979872151152</v>
      </c>
    </row>
    <row r="35" spans="1:10" x14ac:dyDescent="0.25">
      <c r="A35" t="s">
        <v>111</v>
      </c>
      <c r="B35" s="5" t="s">
        <v>198</v>
      </c>
      <c r="C35" s="153" t="s">
        <v>262</v>
      </c>
      <c r="D35" s="151" t="s">
        <v>200</v>
      </c>
      <c r="E35" s="79">
        <f t="array" aca="1" ref="E35" ca="1">SUM(INDEX('Resumen Resultados'!$C$5:$N$15,,MATCH(1,('Resumen Resultados'!$C$4:$N$4=$B35)*('Resumen Resultados'!$C$3:$N$3=$A35),0))*INDEX('Resumen Resultados'!$P$5:$R$15,,MATCH($D35,'Resumen Resultados'!$P$4:$R$4,0)))</f>
        <v>267000</v>
      </c>
      <c r="F35" s="49">
        <f ca="1">E35/_xlfn.XLOOKUP($A35,tb_ult_rem[Sexo],tb_ult_rem[Últ. Rem])</f>
        <v>0.24216544888585753</v>
      </c>
      <c r="G35" s="2"/>
      <c r="H35" s="2"/>
      <c r="I35" s="2"/>
      <c r="J35" s="2"/>
    </row>
    <row r="36" spans="1:10" x14ac:dyDescent="0.25">
      <c r="A36" t="s">
        <v>111</v>
      </c>
      <c r="B36" s="5" t="s">
        <v>198</v>
      </c>
      <c r="C36" s="153" t="s">
        <v>262</v>
      </c>
      <c r="D36" s="151" t="s">
        <v>204</v>
      </c>
      <c r="E36" s="79">
        <f t="array" aca="1" ref="E36" ca="1">SUM(INDEX('Resumen Resultados'!$C$5:$N$15,,MATCH(1,('Resumen Resultados'!$C$4:$N$4=$B36)*('Resumen Resultados'!$C$3:$N$3=$A36),0))*INDEX('Resumen Resultados'!$P$5:$R$15,,MATCH($D36,'Resumen Resultados'!$P$4:$R$4,0)))</f>
        <v>267000</v>
      </c>
      <c r="F36" s="49">
        <f ca="1">E36/_xlfn.XLOOKUP($A36,tb_ult_rem[Sexo],tb_ult_rem[Últ. Rem])</f>
        <v>0.24216544888585753</v>
      </c>
      <c r="G36" s="2"/>
      <c r="H36" s="2"/>
      <c r="I36" s="2"/>
      <c r="J36" s="2"/>
    </row>
    <row r="37" spans="1:10" x14ac:dyDescent="0.25">
      <c r="A37" t="s">
        <v>111</v>
      </c>
      <c r="B37" s="5" t="s">
        <v>198</v>
      </c>
      <c r="C37" s="153" t="s">
        <v>262</v>
      </c>
      <c r="D37" s="151" t="s">
        <v>201</v>
      </c>
      <c r="E37" s="79">
        <f t="array" aca="1" ref="E37" ca="1">SUM(INDEX('Resumen Resultados'!$C$5:$N$15,,MATCH(1,('Resumen Resultados'!$C$4:$N$4=$B37)*('Resumen Resultados'!$C$3:$N$3=$A37),0))*INDEX('Resumen Resultados'!$P$5:$R$15,,MATCH($D37,'Resumen Resultados'!$P$4:$R$4,0)))</f>
        <v>517000</v>
      </c>
      <c r="F37" s="49">
        <f ca="1">E37/_xlfn.XLOOKUP($A37,tb_ult_rem[Sexo],tb_ult_rem[Últ. Rem])</f>
        <v>0.46891212387261555</v>
      </c>
      <c r="G37" s="2"/>
      <c r="H37" s="2"/>
      <c r="I37" s="2"/>
      <c r="J37" s="2"/>
    </row>
  </sheetData>
  <sortState xmlns:xlrd2="http://schemas.microsoft.com/office/spreadsheetml/2017/richdata2" ref="A2:F37">
    <sortCondition ref="A2:A37"/>
    <sortCondition ref="C2:C37"/>
    <sortCondition ref="D2:D37"/>
  </sortState>
  <conditionalFormatting sqref="A2:F37">
    <cfRule type="expression" dxfId="12" priority="14">
      <formula>#REF!=1</formula>
    </cfRule>
    <cfRule type="expression" dxfId="11" priority="15">
      <formula>$C2&lt;&gt;$C1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56832-7270-4974-9999-78FE1199E5CC}">
  <sheetPr codeName="Hoja7">
    <tabColor theme="8" tint="0.79998168889431442"/>
  </sheetPr>
  <dimension ref="A1:BE164"/>
  <sheetViews>
    <sheetView zoomScale="85" zoomScaleNormal="85" workbookViewId="0">
      <pane xSplit="3" ySplit="15" topLeftCell="D16" activePane="bottomRight" state="frozen"/>
      <selection pane="topRight"/>
      <selection pane="bottomLeft"/>
      <selection pane="bottomRight"/>
    </sheetView>
  </sheetViews>
  <sheetFormatPr baseColWidth="10" defaultColWidth="4.28515625" defaultRowHeight="15" x14ac:dyDescent="0.25"/>
  <cols>
    <col min="1" max="1" width="8.5703125" style="30" customWidth="1"/>
    <col min="2" max="2" width="14.28515625" style="30" customWidth="1"/>
    <col min="3" max="3" width="4.28515625" style="30" customWidth="1"/>
    <col min="4" max="5" width="7.42578125" style="30" customWidth="1"/>
    <col min="6" max="12" width="6.28515625" style="30" customWidth="1"/>
    <col min="13" max="20" width="10.7109375" style="30" customWidth="1"/>
    <col min="21" max="21" width="4.140625" style="30" customWidth="1"/>
    <col min="22" max="31" width="12.140625" style="30" customWidth="1"/>
    <col min="32" max="32" width="12" style="30" customWidth="1"/>
    <col min="33" max="36" width="10.7109375" style="30" customWidth="1"/>
    <col min="37" max="42" width="10.7109375" style="33" customWidth="1"/>
    <col min="43" max="47" width="10.7109375" style="30" customWidth="1"/>
    <col min="48" max="48" width="12.7109375" style="30" bestFit="1" customWidth="1"/>
    <col min="49" max="52" width="10.7109375" style="30" customWidth="1"/>
    <col min="53" max="53" width="23" style="30" bestFit="1" customWidth="1"/>
    <col min="54" max="55" width="10.7109375" style="30" customWidth="1"/>
    <col min="56" max="67" width="5.7109375" style="30" customWidth="1"/>
    <col min="68" max="16384" width="4.28515625" style="30"/>
  </cols>
  <sheetData>
    <row r="1" spans="1:57" ht="32.25" customHeight="1" x14ac:dyDescent="0.25">
      <c r="B1" s="405" t="s">
        <v>169</v>
      </c>
      <c r="D1" s="347" t="s">
        <v>114</v>
      </c>
      <c r="E1" s="347"/>
      <c r="F1" s="347" t="s">
        <v>115</v>
      </c>
      <c r="G1" s="347"/>
      <c r="H1" s="347" t="s">
        <v>117</v>
      </c>
      <c r="I1" s="347"/>
      <c r="K1" s="367" t="s">
        <v>178</v>
      </c>
      <c r="L1" s="368"/>
      <c r="M1" s="369"/>
      <c r="X1" s="40"/>
      <c r="AC1" s="289" t="s">
        <v>252</v>
      </c>
      <c r="AD1" s="290"/>
      <c r="AE1" s="290"/>
      <c r="AF1" s="291"/>
      <c r="BA1" s="196"/>
      <c r="BB1" s="196" t="s">
        <v>110</v>
      </c>
      <c r="BC1" s="196" t="s">
        <v>111</v>
      </c>
    </row>
    <row r="2" spans="1:57" ht="15" customHeight="1" x14ac:dyDescent="0.25">
      <c r="B2" s="406"/>
      <c r="D2" s="58" t="s">
        <v>165</v>
      </c>
      <c r="E2" s="58" t="s">
        <v>166</v>
      </c>
      <c r="F2" s="58" t="s">
        <v>165</v>
      </c>
      <c r="G2" s="58" t="s">
        <v>166</v>
      </c>
      <c r="H2" s="58" t="s">
        <v>165</v>
      </c>
      <c r="I2" s="58" t="s">
        <v>166</v>
      </c>
      <c r="J2" s="84"/>
      <c r="K2" s="110" t="s">
        <v>179</v>
      </c>
      <c r="L2" s="33" t="s">
        <v>110</v>
      </c>
      <c r="M2" s="30" t="s">
        <v>111</v>
      </c>
      <c r="V2" s="30" t="s">
        <v>162</v>
      </c>
      <c r="X2" s="166">
        <v>0.1</v>
      </c>
      <c r="Y2" s="30" t="s">
        <v>269</v>
      </c>
      <c r="AC2" s="33"/>
      <c r="AD2" s="33"/>
      <c r="AE2" s="57" t="s">
        <v>110</v>
      </c>
      <c r="AF2" s="32" t="s">
        <v>111</v>
      </c>
      <c r="BA2" s="65" t="s">
        <v>153</v>
      </c>
      <c r="BB2" s="320">
        <f>ROUND(AI$11,0)</f>
        <v>249562</v>
      </c>
      <c r="BC2" s="320">
        <f>ROUND(AJ$11,0)</f>
        <v>222429</v>
      </c>
    </row>
    <row r="3" spans="1:57" ht="15" customHeight="1" x14ac:dyDescent="0.25">
      <c r="B3" s="32" t="s">
        <v>112</v>
      </c>
      <c r="D3" s="35">
        <f>IF(2024-a_afil&gt;0,2024-a_afil,0)</f>
        <v>21</v>
      </c>
      <c r="E3" s="35">
        <f>IF(2024-a_afil&gt;0,2024-a_afil,0)</f>
        <v>21</v>
      </c>
      <c r="F3" s="35">
        <f>D3*dens_cot</f>
        <v>12.18</v>
      </c>
      <c r="G3" s="35">
        <f>E3*dens_mujer</f>
        <v>12.18</v>
      </c>
      <c r="H3" s="35">
        <f t="shared" ref="H3:I5" si="0">D3-F3</f>
        <v>8.82</v>
      </c>
      <c r="I3" s="35">
        <f t="shared" si="0"/>
        <v>8.82</v>
      </c>
      <c r="J3" s="84"/>
      <c r="K3" s="33" t="s">
        <v>180</v>
      </c>
      <c r="L3" s="37">
        <f>L5-L4</f>
        <v>12.179999999999998</v>
      </c>
      <c r="M3" s="37">
        <f>M5-M4</f>
        <v>12.179999999999998</v>
      </c>
      <c r="V3" s="30" t="s">
        <v>162</v>
      </c>
      <c r="X3" s="166">
        <f>10.5%+(6%-X4)</f>
        <v>0.105</v>
      </c>
      <c r="Y3" s="47" t="s">
        <v>270</v>
      </c>
      <c r="AC3" s="30" t="s">
        <v>254</v>
      </c>
      <c r="AD3" s="33"/>
      <c r="AE3" s="33" cm="1">
        <f t="array" ref="AE3:AF3">edad_pafe</f>
        <v>65</v>
      </c>
      <c r="AF3" s="33">
        <v>60</v>
      </c>
      <c r="BA3" s="30" t="s">
        <v>266</v>
      </c>
      <c r="BB3" s="38">
        <f>ROUND(AK$11,0)</f>
        <v>250933</v>
      </c>
      <c r="BC3" s="38">
        <f>ROUND(AL$11,0)</f>
        <v>223651</v>
      </c>
    </row>
    <row r="4" spans="1:57" x14ac:dyDescent="0.25">
      <c r="B4" s="32" t="s">
        <v>113</v>
      </c>
      <c r="D4" s="35">
        <f>MAX(0,D5-D3)</f>
        <v>20</v>
      </c>
      <c r="E4" s="35">
        <f>MAX(0,E5-E3)</f>
        <v>20</v>
      </c>
      <c r="F4" s="35">
        <f>D4*dens_cot</f>
        <v>11.6</v>
      </c>
      <c r="G4" s="35">
        <f>E4*dens_mujer</f>
        <v>11.6</v>
      </c>
      <c r="H4" s="35">
        <f t="shared" si="0"/>
        <v>8.4</v>
      </c>
      <c r="I4" s="35">
        <f t="shared" si="0"/>
        <v>8.4</v>
      </c>
      <c r="J4" s="84"/>
      <c r="K4" s="33" t="s">
        <v>181</v>
      </c>
      <c r="L4" s="37">
        <f>MAX(0,IF(F4&lt;30,F4,30))</f>
        <v>11.6</v>
      </c>
      <c r="M4" s="37">
        <f>IF(G4&lt;30,G4,30)</f>
        <v>11.6</v>
      </c>
      <c r="V4" s="30" t="s">
        <v>154</v>
      </c>
      <c r="X4" s="41">
        <v>0.06</v>
      </c>
      <c r="Y4" s="47" t="s">
        <v>271</v>
      </c>
      <c r="AC4" s="30" t="s">
        <v>211</v>
      </c>
      <c r="AD4" s="33"/>
      <c r="AE4" s="255">
        <f>_xlfn.XLOOKUP(AE3,$C$16:$C$135,Z$16:Z$135)/(12*_xlfn.XLOOKUP(AE$2,sexo_cnu,cnu_elp))</f>
        <v>249562.18907357016</v>
      </c>
      <c r="AF4" s="255">
        <f>_xlfn.XLOOKUP(AF3,$C$16:$C$135,AA$16:AA$135)/(12*_xlfn.XLOOKUP(AF$2,sexo_cnu,cnu_elp))</f>
        <v>158779.23425516335</v>
      </c>
      <c r="BA4" s="30" t="s">
        <v>150</v>
      </c>
      <c r="BB4" s="38">
        <f>BB3-BB2</f>
        <v>1371</v>
      </c>
      <c r="BC4" s="38">
        <f>BC3-BC2</f>
        <v>1222</v>
      </c>
    </row>
    <row r="5" spans="1:57" x14ac:dyDescent="0.25">
      <c r="B5" s="32" t="s">
        <v>116</v>
      </c>
      <c r="D5" s="35">
        <f>(a_nac+edad_ret_h-a_afil)</f>
        <v>41</v>
      </c>
      <c r="E5" s="35">
        <f>(a_nac+edad_ret_m-a_afil)</f>
        <v>41</v>
      </c>
      <c r="F5" s="35">
        <f>D5*dens_cot</f>
        <v>23.779999999999998</v>
      </c>
      <c r="G5" s="35">
        <f>E5*dens_mujer</f>
        <v>23.779999999999998</v>
      </c>
      <c r="H5" s="35">
        <f t="shared" si="0"/>
        <v>17.220000000000002</v>
      </c>
      <c r="I5" s="35">
        <f t="shared" si="0"/>
        <v>17.220000000000002</v>
      </c>
      <c r="J5" s="84"/>
      <c r="K5" s="33" t="s">
        <v>116</v>
      </c>
      <c r="L5" s="37">
        <f>IF(F5&lt;30,F5,30)</f>
        <v>23.779999999999998</v>
      </c>
      <c r="M5" s="37">
        <f>IF(G5&lt;30,G5,30)</f>
        <v>23.779999999999998</v>
      </c>
      <c r="AC5" s="30" t="s">
        <v>212</v>
      </c>
      <c r="AD5" s="33"/>
      <c r="AE5" s="255">
        <f>_xlfn.XLOOKUP(AE3,$C$16:$C$135,AB$16:AB$135)/(12*_xlfn.XLOOKUP(AE$2,sexo_cnu,cnu_elp))</f>
        <v>250933.18255909981</v>
      </c>
      <c r="AF5" s="255">
        <f>_xlfn.XLOOKUP(AF3,$C$16:$C$135,AC$16:AC$135)/(12*_xlfn.XLOOKUP(AF$2,sexo_cnu,cnu_elp))</f>
        <v>160201.23226030706</v>
      </c>
      <c r="BA5" s="30" t="s">
        <v>145</v>
      </c>
      <c r="BB5" s="38"/>
      <c r="BC5" s="38">
        <f>ROUND((IF(Esc_6c!$E$9&lt;2024,Parámetros!$AA$4,Parámetros!$AA$3)/Parámetros!$Z$4-1)*MIN(AL$11,tope_bm*UF)*$X$7,0)</f>
        <v>27283</v>
      </c>
    </row>
    <row r="6" spans="1:57" x14ac:dyDescent="0.25">
      <c r="C6" s="32"/>
      <c r="D6" s="34"/>
      <c r="E6" s="34"/>
      <c r="F6" s="34"/>
      <c r="G6" s="34"/>
      <c r="H6" s="34"/>
      <c r="I6" s="34"/>
      <c r="J6" s="84"/>
      <c r="V6" s="40" t="s">
        <v>143</v>
      </c>
      <c r="X6" s="167">
        <f>0.16%*(1-VLOOKUP(a_nac,Parámetros!$AD$3:$AF$56,3))</f>
        <v>1.2800000000000001E-3</v>
      </c>
      <c r="Y6" s="47" t="s">
        <v>163</v>
      </c>
      <c r="AA6" s="86" t="s">
        <v>164</v>
      </c>
      <c r="AC6" s="287" t="s">
        <v>257</v>
      </c>
      <c r="AD6" s="33"/>
      <c r="AE6" s="269">
        <f>IF(Parámetros!Z$10&lt;2024,AE4,AE$5)</f>
        <v>250933.18255909981</v>
      </c>
      <c r="AF6" s="269">
        <f>IF(Parámetros!AA$10&lt;2024,AF4,AF$5)</f>
        <v>160201.23226030706</v>
      </c>
      <c r="AI6" s="33"/>
      <c r="AK6" s="30"/>
      <c r="BA6" s="30" t="s">
        <v>199</v>
      </c>
      <c r="BB6" s="38">
        <f>ROUND(AM$11+AO$11,0)</f>
        <v>40867</v>
      </c>
      <c r="BC6" s="38">
        <f>ROUND(AN$11+AP$11,0)</f>
        <v>40867</v>
      </c>
    </row>
    <row r="7" spans="1:57" x14ac:dyDescent="0.25">
      <c r="C7" s="32"/>
      <c r="D7" s="34"/>
      <c r="E7" s="34"/>
      <c r="F7" s="34"/>
      <c r="G7" s="34"/>
      <c r="H7" s="34"/>
      <c r="I7" s="34"/>
      <c r="J7" s="84"/>
      <c r="U7" s="38"/>
      <c r="V7" s="30" t="s">
        <v>182</v>
      </c>
      <c r="X7" s="36">
        <f>VLOOKUP(Esc_6c!E9-a_nac,Parámetros!$Q$15:$R$20,2,FALSE)</f>
        <v>1</v>
      </c>
      <c r="AI7" s="33"/>
      <c r="AJ7" s="33"/>
      <c r="BA7" s="30" t="s">
        <v>124</v>
      </c>
      <c r="BB7" s="38">
        <f>ROUND(MAX((L3*beta+L4*gamma)*UF-AM11-AO11,0),0)</f>
        <v>45051</v>
      </c>
      <c r="BC7" s="38">
        <f>ROUND(MAX((M3*beta+M4*gamma)*UF-AN11-AP11,0),0)</f>
        <v>45051</v>
      </c>
    </row>
    <row r="8" spans="1:57" x14ac:dyDescent="0.25">
      <c r="D8" s="196" t="s">
        <v>110</v>
      </c>
      <c r="E8" s="196" t="s">
        <v>111</v>
      </c>
      <c r="F8" s="34"/>
      <c r="G8" s="34"/>
      <c r="H8" s="34"/>
      <c r="J8" s="84"/>
      <c r="V8" s="252" t="s">
        <v>229</v>
      </c>
      <c r="X8" s="254">
        <v>18</v>
      </c>
      <c r="AI8" s="33"/>
      <c r="AJ8" s="33"/>
      <c r="BA8" s="30" t="s">
        <v>2</v>
      </c>
      <c r="BB8" s="38"/>
      <c r="BC8" s="38">
        <f>ROUND(AQ$11,0)</f>
        <v>0</v>
      </c>
    </row>
    <row r="9" spans="1:57" x14ac:dyDescent="0.25">
      <c r="B9" t="s">
        <v>119</v>
      </c>
      <c r="D9" s="65">
        <f>_xlfn.XLOOKUP(D$8,sexo_cnu,agno_ret)</f>
        <v>2044</v>
      </c>
      <c r="E9" s="65">
        <f>_xlfn.XLOOKUP(E$8,sexo_cnu,agno_ret)</f>
        <v>2044</v>
      </c>
      <c r="F9" s="34"/>
      <c r="G9" s="34"/>
      <c r="H9" s="34"/>
      <c r="I9" s="34"/>
      <c r="J9" s="84"/>
      <c r="U9" s="47"/>
      <c r="AI9" s="33"/>
      <c r="AJ9" s="33"/>
      <c r="AO9" s="30"/>
      <c r="AP9" s="30"/>
      <c r="BA9" s="30" t="s">
        <v>105</v>
      </c>
      <c r="BB9" s="38"/>
      <c r="BC9" s="38">
        <f>ROUND(AR$11,0)</f>
        <v>7379</v>
      </c>
    </row>
    <row r="10" spans="1:57" x14ac:dyDescent="0.25">
      <c r="D10" s="34"/>
      <c r="E10" s="34"/>
      <c r="F10" s="34"/>
      <c r="G10" s="34"/>
      <c r="H10" s="34"/>
      <c r="I10" s="35"/>
      <c r="J10" s="35"/>
      <c r="U10" s="47"/>
      <c r="AB10" s="33"/>
      <c r="AC10" s="33"/>
      <c r="AI10" s="33"/>
      <c r="AJ10" s="33"/>
      <c r="AO10" s="30"/>
      <c r="AP10" s="30"/>
      <c r="BA10" s="85" t="s">
        <v>15</v>
      </c>
      <c r="BB10" s="38">
        <f>ROUND(AS$11,0)</f>
        <v>785</v>
      </c>
      <c r="BC10" s="38">
        <f>ROUND(AT$11,0)</f>
        <v>785</v>
      </c>
      <c r="BD10" s="38"/>
    </row>
    <row r="11" spans="1:57" x14ac:dyDescent="0.25">
      <c r="A11" s="96"/>
      <c r="B11" s="84"/>
      <c r="C11" s="85"/>
      <c r="D11" s="208"/>
      <c r="E11" s="208"/>
      <c r="F11" s="208"/>
      <c r="G11" s="208"/>
      <c r="H11" s="208"/>
      <c r="I11" s="209"/>
      <c r="J11" s="209"/>
      <c r="K11" s="85"/>
      <c r="L11" s="71"/>
      <c r="M11" s="84"/>
      <c r="N11" s="85"/>
      <c r="O11" s="85"/>
      <c r="P11" s="85"/>
      <c r="Q11" s="85"/>
      <c r="R11" s="85"/>
      <c r="S11" s="85"/>
      <c r="T11" s="71"/>
      <c r="U11" s="47"/>
      <c r="V11" s="84"/>
      <c r="W11" s="85"/>
      <c r="X11" s="85"/>
      <c r="Y11" s="85"/>
      <c r="Z11" s="85"/>
      <c r="AA11" s="85"/>
      <c r="AB11" s="85"/>
      <c r="AC11" s="210"/>
      <c r="AI11" s="74">
        <f t="shared" ref="AI11:AT11" si="1">MAX(AI16:AI135)</f>
        <v>249562.18907357016</v>
      </c>
      <c r="AJ11" s="74">
        <f t="shared" si="1"/>
        <v>222428.64055623682</v>
      </c>
      <c r="AK11" s="74">
        <f t="shared" si="1"/>
        <v>250933.18255909981</v>
      </c>
      <c r="AL11" s="74">
        <f t="shared" si="1"/>
        <v>223650.57332710188</v>
      </c>
      <c r="AM11" s="53">
        <f t="shared" si="1"/>
        <v>26018.270510941446</v>
      </c>
      <c r="AN11" s="53">
        <f t="shared" si="1"/>
        <v>26018.270510941446</v>
      </c>
      <c r="AO11" s="53">
        <f t="shared" si="1"/>
        <v>14848.977006289138</v>
      </c>
      <c r="AP11" s="53">
        <f t="shared" si="1"/>
        <v>14848.977006289138</v>
      </c>
      <c r="AQ11" s="53">
        <f t="shared" si="1"/>
        <v>0</v>
      </c>
      <c r="AR11" s="53">
        <f t="shared" si="1"/>
        <v>7379.2451576433023</v>
      </c>
      <c r="AS11" s="53">
        <f t="shared" si="1"/>
        <v>784.7809218836677</v>
      </c>
      <c r="AT11" s="53">
        <f t="shared" si="1"/>
        <v>784.7809218836677</v>
      </c>
      <c r="AU11" s="84"/>
      <c r="AV11" s="85"/>
      <c r="AW11" s="85"/>
      <c r="AX11" s="85"/>
      <c r="AY11" s="85"/>
      <c r="AZ11" s="85"/>
      <c r="BA11" s="38"/>
      <c r="BB11" s="38"/>
      <c r="BC11" s="85"/>
      <c r="BD11" s="71"/>
    </row>
    <row r="12" spans="1:57" ht="15" customHeight="1" x14ac:dyDescent="0.25">
      <c r="A12" s="374" t="s">
        <v>20</v>
      </c>
      <c r="B12" s="201" t="s">
        <v>167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6"/>
      <c r="M12" s="391" t="s">
        <v>170</v>
      </c>
      <c r="N12" s="392"/>
      <c r="O12" s="392"/>
      <c r="P12" s="392"/>
      <c r="Q12" s="392"/>
      <c r="R12" s="392"/>
      <c r="S12" s="392"/>
      <c r="T12" s="393"/>
      <c r="U12" s="47"/>
      <c r="V12" s="281" t="s">
        <v>171</v>
      </c>
      <c r="W12" s="282"/>
      <c r="X12" s="282"/>
      <c r="Y12" s="282"/>
      <c r="Z12" s="282"/>
      <c r="AA12" s="282"/>
      <c r="AB12" s="282"/>
      <c r="AC12" s="282"/>
      <c r="AD12" s="348" t="s">
        <v>173</v>
      </c>
      <c r="AE12" s="348"/>
      <c r="AF12" s="348"/>
      <c r="AG12" s="348"/>
      <c r="AI12" s="357" t="s">
        <v>138</v>
      </c>
      <c r="AJ12" s="358"/>
      <c r="AK12" s="357" t="s">
        <v>176</v>
      </c>
      <c r="AL12" s="358"/>
      <c r="AM12" s="283" t="s">
        <v>177</v>
      </c>
      <c r="AN12" s="284"/>
      <c r="AO12" s="284"/>
      <c r="AP12" s="284"/>
      <c r="AQ12" s="284"/>
      <c r="AR12" s="284"/>
      <c r="AS12" s="284"/>
      <c r="AT12" s="284"/>
      <c r="AU12" s="84"/>
      <c r="AV12" s="85"/>
      <c r="AW12" s="85"/>
      <c r="AX12" s="85"/>
      <c r="AY12" s="85"/>
      <c r="BA12" s="30" t="s">
        <v>220</v>
      </c>
      <c r="BB12" s="207">
        <f>BB7+AM11+AO11</f>
        <v>85918.247517230586</v>
      </c>
      <c r="BC12" s="207">
        <f>BC7+AN11+AP11</f>
        <v>85918.247517230586</v>
      </c>
      <c r="BD12" s="71"/>
    </row>
    <row r="13" spans="1:57" s="58" customFormat="1" ht="44.25" customHeight="1" x14ac:dyDescent="0.25">
      <c r="A13" s="375"/>
      <c r="B13" s="394" t="s">
        <v>120</v>
      </c>
      <c r="C13" s="397" t="s">
        <v>104</v>
      </c>
      <c r="D13" s="363" t="s">
        <v>106</v>
      </c>
      <c r="E13" s="364"/>
      <c r="F13" s="363" t="s">
        <v>109</v>
      </c>
      <c r="G13" s="364"/>
      <c r="H13" s="400" t="s">
        <v>118</v>
      </c>
      <c r="I13" s="363" t="s">
        <v>108</v>
      </c>
      <c r="J13" s="364"/>
      <c r="K13" s="363" t="s">
        <v>107</v>
      </c>
      <c r="L13" s="364"/>
      <c r="M13" s="350" t="s">
        <v>160</v>
      </c>
      <c r="N13" s="350"/>
      <c r="O13" s="350" t="s">
        <v>161</v>
      </c>
      <c r="P13" s="350"/>
      <c r="Q13" s="377" t="str">
        <f>"Cotización sin reforma"&amp;CHAR(10)&amp;TEXT($X$2,"0,0%")</f>
        <v>Cotización sin reforma
10,0%</v>
      </c>
      <c r="R13" s="378"/>
      <c r="S13" s="377" t="str">
        <f>"Cotización con reforma"&amp;CHAR(10)&amp;TEXT($X$3,"0,0%")</f>
        <v>Cotización con reforma
10,5%</v>
      </c>
      <c r="T13" s="378"/>
      <c r="U13" s="63"/>
      <c r="V13" s="349" t="s">
        <v>130</v>
      </c>
      <c r="W13" s="349"/>
      <c r="X13" s="349" t="s">
        <v>131</v>
      </c>
      <c r="Y13" s="349"/>
      <c r="Z13" s="383" t="s">
        <v>172</v>
      </c>
      <c r="AA13" s="384"/>
      <c r="AB13" s="387" t="str">
        <f>"Saldo con reforma ("&amp;TEXT($X$3,"0,0%")&amp;")"</f>
        <v>Saldo con reforma (10,5%)</v>
      </c>
      <c r="AC13" s="388"/>
      <c r="AD13" s="381" t="s">
        <v>2</v>
      </c>
      <c r="AE13" s="351" t="s">
        <v>175</v>
      </c>
      <c r="AF13" s="353" t="s">
        <v>174</v>
      </c>
      <c r="AG13" s="354"/>
      <c r="AI13" s="359"/>
      <c r="AJ13" s="360"/>
      <c r="AK13" s="359"/>
      <c r="AL13" s="360"/>
      <c r="AM13" s="370" t="s">
        <v>132</v>
      </c>
      <c r="AN13" s="371"/>
      <c r="AO13" s="370" t="s">
        <v>133</v>
      </c>
      <c r="AP13" s="371"/>
      <c r="AQ13" s="403" t="s">
        <v>2</v>
      </c>
      <c r="AR13" s="403" t="s">
        <v>105</v>
      </c>
      <c r="AS13" s="370" t="s">
        <v>174</v>
      </c>
      <c r="AT13" s="371"/>
      <c r="AU13" s="30"/>
      <c r="AV13" s="30"/>
      <c r="AW13" s="30"/>
      <c r="AX13" s="30"/>
      <c r="BB13" s="30"/>
      <c r="BC13" s="30"/>
      <c r="BD13" s="30"/>
      <c r="BE13"/>
    </row>
    <row r="14" spans="1:57" ht="15" customHeight="1" x14ac:dyDescent="0.25">
      <c r="A14" s="375"/>
      <c r="B14" s="395"/>
      <c r="C14" s="398"/>
      <c r="D14" s="365"/>
      <c r="E14" s="366"/>
      <c r="F14" s="365"/>
      <c r="G14" s="366"/>
      <c r="H14" s="401"/>
      <c r="I14" s="365"/>
      <c r="J14" s="366"/>
      <c r="K14" s="365"/>
      <c r="L14" s="366"/>
      <c r="M14" s="30" t="s">
        <v>168</v>
      </c>
      <c r="N14" s="36">
        <f>$X$4</f>
        <v>0.06</v>
      </c>
      <c r="O14" s="30" t="s">
        <v>168</v>
      </c>
      <c r="P14" s="36">
        <f>$X$4</f>
        <v>0.06</v>
      </c>
      <c r="Q14" s="379"/>
      <c r="R14" s="380"/>
      <c r="S14" s="379"/>
      <c r="T14" s="380"/>
      <c r="U14" s="64"/>
      <c r="V14" s="30" t="s">
        <v>123</v>
      </c>
      <c r="W14" s="36">
        <f>$X$4</f>
        <v>0.06</v>
      </c>
      <c r="X14" s="30" t="s">
        <v>123</v>
      </c>
      <c r="Y14" s="36">
        <f>$X$4</f>
        <v>0.06</v>
      </c>
      <c r="Z14" s="385"/>
      <c r="AA14" s="386"/>
      <c r="AB14" s="389"/>
      <c r="AC14" s="390"/>
      <c r="AD14" s="382"/>
      <c r="AE14" s="352"/>
      <c r="AF14" s="355"/>
      <c r="AG14" s="356"/>
      <c r="AI14" s="361"/>
      <c r="AJ14" s="362"/>
      <c r="AK14" s="361"/>
      <c r="AL14" s="362"/>
      <c r="AM14" s="372"/>
      <c r="AN14" s="373"/>
      <c r="AO14" s="372"/>
      <c r="AP14" s="373"/>
      <c r="AQ14" s="404"/>
      <c r="AR14" s="404"/>
      <c r="AS14" s="372"/>
      <c r="AT14" s="373"/>
      <c r="AU14" s="346"/>
      <c r="AV14" s="346"/>
    </row>
    <row r="15" spans="1:57" x14ac:dyDescent="0.25">
      <c r="A15" s="376"/>
      <c r="B15" s="396"/>
      <c r="C15" s="399"/>
      <c r="D15" s="202" t="s">
        <v>2</v>
      </c>
      <c r="E15" s="202" t="s">
        <v>105</v>
      </c>
      <c r="F15" s="109" t="s">
        <v>165</v>
      </c>
      <c r="G15" s="109" t="s">
        <v>166</v>
      </c>
      <c r="H15" s="402"/>
      <c r="I15" s="109" t="s">
        <v>165</v>
      </c>
      <c r="J15" s="109" t="s">
        <v>166</v>
      </c>
      <c r="K15" s="109" t="s">
        <v>165</v>
      </c>
      <c r="L15" s="109" t="s">
        <v>166</v>
      </c>
      <c r="M15" s="31" t="s">
        <v>110</v>
      </c>
      <c r="N15" s="31" t="s">
        <v>111</v>
      </c>
      <c r="O15" s="31" t="s">
        <v>110</v>
      </c>
      <c r="P15" s="31" t="s">
        <v>111</v>
      </c>
      <c r="Q15" s="31" t="s">
        <v>110</v>
      </c>
      <c r="R15" s="31" t="s">
        <v>111</v>
      </c>
      <c r="S15" s="31" t="s">
        <v>110</v>
      </c>
      <c r="T15" s="31" t="s">
        <v>111</v>
      </c>
      <c r="U15" s="108"/>
      <c r="V15" s="31" t="s">
        <v>110</v>
      </c>
      <c r="W15" s="31" t="s">
        <v>111</v>
      </c>
      <c r="X15" s="31" t="s">
        <v>110</v>
      </c>
      <c r="Y15" s="31" t="s">
        <v>111</v>
      </c>
      <c r="Z15" s="31" t="s">
        <v>110</v>
      </c>
      <c r="AA15" s="31" t="s">
        <v>111</v>
      </c>
      <c r="AB15" s="31" t="s">
        <v>110</v>
      </c>
      <c r="AC15" s="31" t="s">
        <v>111</v>
      </c>
      <c r="AD15" s="31" t="s">
        <v>111</v>
      </c>
      <c r="AE15" s="31" t="s">
        <v>111</v>
      </c>
      <c r="AF15" s="31" t="s">
        <v>110</v>
      </c>
      <c r="AG15" s="31" t="s">
        <v>111</v>
      </c>
      <c r="AI15" s="33" t="s">
        <v>110</v>
      </c>
      <c r="AJ15" s="33" t="s">
        <v>111</v>
      </c>
      <c r="AK15" s="33" t="s">
        <v>110</v>
      </c>
      <c r="AL15" s="33" t="s">
        <v>111</v>
      </c>
      <c r="AM15" s="30" t="s">
        <v>110</v>
      </c>
      <c r="AN15" s="30" t="s">
        <v>111</v>
      </c>
      <c r="AO15" s="30" t="s">
        <v>110</v>
      </c>
      <c r="AP15" s="30" t="s">
        <v>111</v>
      </c>
      <c r="AQ15" s="30" t="s">
        <v>111</v>
      </c>
      <c r="AR15" s="30" t="s">
        <v>111</v>
      </c>
      <c r="AS15" s="30" t="s">
        <v>110</v>
      </c>
      <c r="AT15" s="30" t="s">
        <v>111</v>
      </c>
      <c r="AV15" s="188" t="s">
        <v>218</v>
      </c>
    </row>
    <row r="16" spans="1:57" s="96" customFormat="1" x14ac:dyDescent="0.25">
      <c r="A16" s="30">
        <v>1981</v>
      </c>
      <c r="B16" s="33">
        <f>w_uf*UF*Parámetros!C3</f>
        <v>380780.03679971903</v>
      </c>
      <c r="C16" s="30">
        <f t="shared" ref="C16:C47" si="2">IF(AND(A16-a_nac&lt;=110,A16-a_nac&gt;0),A16-a_nac,"")</f>
        <v>2</v>
      </c>
      <c r="D16" s="30">
        <f>((A16=Inputs!$C$12)*(Inputs!$D$12) + (A16=Inputs!$C$13)*(Inputs!$D$13) + (A16=Inputs!$C$14)*(Inputs!$D$14)) *(A16 &gt;= a_afil)*(A16&gt;=2024)</f>
        <v>0</v>
      </c>
      <c r="E16" s="30">
        <v>0</v>
      </c>
      <c r="F16" s="30">
        <f t="shared" ref="F16:F47" si="3" xml:space="preserve"> (C16&lt;edad_ret_h) * (A16&gt;=a_afil)</f>
        <v>0</v>
      </c>
      <c r="G16" s="30">
        <f t="shared" ref="G16:G47" si="4" xml:space="preserve"> (C16&lt;edad_ret_m) * (A16&gt;=a_afil)</f>
        <v>0</v>
      </c>
      <c r="H16" s="30">
        <v>0.11547011137008667</v>
      </c>
      <c r="I16" s="37">
        <f t="shared" ref="I16:I58" si="5">IF(F16=1,+dens_cot,0)</f>
        <v>0</v>
      </c>
      <c r="J16" s="37">
        <f t="shared" ref="J16:J58" si="6">IF(G16=1,+dens_mujer,0)</f>
        <v>0</v>
      </c>
      <c r="K16" s="30"/>
      <c r="M16" s="97"/>
      <c r="N16" s="98"/>
      <c r="O16" s="98"/>
      <c r="P16" s="98"/>
      <c r="Q16" s="192">
        <f t="shared" ref="Q16:Q47" si="7">MIN($B16,_xlfn.XLOOKUP($A16,agnos,tope_base)*UF)*12*I16*$X$2</f>
        <v>0</v>
      </c>
      <c r="R16" s="192">
        <f t="shared" ref="R16:R47" si="8">MIN($B16,_xlfn.XLOOKUP($A16,agnos,tope_base)*UF)*12*J16*$X$2</f>
        <v>0</v>
      </c>
      <c r="S16" s="192">
        <f t="shared" ref="S16:S58" si="9">MIN($B16,_xlfn.XLOOKUP($A16,agnos,tope_base)*UF)*12*I16*$X$2</f>
        <v>0</v>
      </c>
      <c r="T16" s="192">
        <f t="shared" ref="T16:T58" si="10">MIN($B16,_xlfn.XLOOKUP($A16,agnos,tope_base)*UF)*12*J16*$X$2</f>
        <v>0</v>
      </c>
      <c r="U16" s="98"/>
      <c r="V16" s="98"/>
      <c r="W16" s="98"/>
      <c r="X16" s="98"/>
      <c r="Y16" s="98"/>
      <c r="Z16" s="98"/>
      <c r="AA16" s="98"/>
      <c r="AB16" s="98"/>
      <c r="AC16" s="98"/>
      <c r="AI16" s="52">
        <f>($A16=Esc_6c!D$9)*Z16/(12*_xlfn.XLOOKUP(AI$15,sexo_cnu,cnu))</f>
        <v>0</v>
      </c>
      <c r="AJ16" s="52">
        <f>($A16=Esc_6c!E$9)*AA16/(12*_xlfn.XLOOKUP(AJ$15,sexo_cnu,cnu))</f>
        <v>0</v>
      </c>
      <c r="AK16" s="52">
        <f>($A16=Esc_6c!D$9)*AB16/(12*_xlfn.XLOOKUP(AK$15,sexo_cnu,cnu))</f>
        <v>0</v>
      </c>
      <c r="AL16" s="52">
        <f>($A16=Esc_6c!E$9)*AC16/(12*_xlfn.XLOOKUP(AL$15,sexo_cnu,cnu))</f>
        <v>0</v>
      </c>
      <c r="AU16" s="100"/>
      <c r="AV16" s="100"/>
    </row>
    <row r="17" spans="1:48" s="65" customFormat="1" x14ac:dyDescent="0.25">
      <c r="A17" s="30">
        <v>1982</v>
      </c>
      <c r="B17" s="33">
        <f>w_uf*UF*Parámetros!C4</f>
        <v>407279.08360989951</v>
      </c>
      <c r="C17" s="30">
        <f t="shared" si="2"/>
        <v>3</v>
      </c>
      <c r="D17" s="30">
        <f>((A17=Inputs!$C$12)*(Inputs!$D$12) + (A17=Inputs!$C$13)*(Inputs!$D$13) + (A17=Inputs!$C$14)*(Inputs!$D$14)) *(A17 &gt;= a_afil)*(A17&gt;=2024)</f>
        <v>0</v>
      </c>
      <c r="E17" s="30">
        <v>0</v>
      </c>
      <c r="F17" s="30">
        <f t="shared" si="3"/>
        <v>0</v>
      </c>
      <c r="G17" s="30">
        <f t="shared" si="4"/>
        <v>0</v>
      </c>
      <c r="H17" s="30">
        <v>0.17377340793609619</v>
      </c>
      <c r="I17" s="37">
        <f t="shared" si="5"/>
        <v>0</v>
      </c>
      <c r="J17" s="37">
        <f t="shared" si="6"/>
        <v>0</v>
      </c>
      <c r="K17" s="84"/>
      <c r="L17" s="101"/>
      <c r="M17" s="88"/>
      <c r="N17" s="69"/>
      <c r="O17" s="69"/>
      <c r="P17" s="69"/>
      <c r="Q17" s="70">
        <f t="shared" si="7"/>
        <v>0</v>
      </c>
      <c r="R17" s="70">
        <f t="shared" si="8"/>
        <v>0</v>
      </c>
      <c r="S17" s="70">
        <f t="shared" si="9"/>
        <v>0</v>
      </c>
      <c r="T17" s="70">
        <f t="shared" si="10"/>
        <v>0</v>
      </c>
      <c r="U17" s="69"/>
      <c r="V17" s="69"/>
      <c r="W17" s="69"/>
      <c r="X17" s="69"/>
      <c r="Y17" s="69"/>
      <c r="Z17" s="70">
        <f t="shared" ref="Z17:Z48" si="11">F16*Z16*(1+_xlfn.XLOOKUP(MIN(2024,$A16),agnos_rent,rent_base))+Q17</f>
        <v>0</v>
      </c>
      <c r="AA17" s="70">
        <f t="shared" ref="AA17:AA48" si="12">G16*AA16*(1+_xlfn.XLOOKUP(MIN(2024,$A16),agnos_rent,rent_base))+R17</f>
        <v>0</v>
      </c>
      <c r="AB17" s="70">
        <f t="shared" ref="AB17:AB60" si="13">F16*AB16*(1+_xlfn.XLOOKUP(MIN(2024,$A16),agnos_rent,rent_base))+S17</f>
        <v>0</v>
      </c>
      <c r="AC17" s="70">
        <f t="shared" ref="AC17:AC60" si="14">G16*AC16*(1+_xlfn.XLOOKUP(MIN(2024,$A16),agnos_rent,rent_base))+T17</f>
        <v>0</v>
      </c>
      <c r="AI17" s="74">
        <f>($A17=Esc_6c!D$9)*Z17/(12*_xlfn.XLOOKUP(AI$15,sexo_cnu,cnu))</f>
        <v>0</v>
      </c>
      <c r="AJ17" s="74">
        <f>($A17=Esc_6c!E$9)*AA17/(12*_xlfn.XLOOKUP(AJ$15,sexo_cnu,cnu))</f>
        <v>0</v>
      </c>
      <c r="AK17" s="74">
        <f>($A17=Esc_6c!D$9)*AB17/(12*_xlfn.XLOOKUP(AK$15,sexo_cnu,cnu))</f>
        <v>0</v>
      </c>
      <c r="AL17" s="74">
        <f>($A17=Esc_6c!E$9)*AC17/(12*_xlfn.XLOOKUP(AL$15,sexo_cnu,cnu))</f>
        <v>0</v>
      </c>
      <c r="AU17" s="102"/>
      <c r="AV17" s="102"/>
    </row>
    <row r="18" spans="1:48" x14ac:dyDescent="0.25">
      <c r="A18" s="30">
        <v>1983</v>
      </c>
      <c r="B18" s="33">
        <f>w_uf*UF*Parámetros!C5</f>
        <v>416549.90038654342</v>
      </c>
      <c r="C18" s="30">
        <f t="shared" si="2"/>
        <v>4</v>
      </c>
      <c r="D18" s="30">
        <f>((A18=Inputs!$C$12)*(Inputs!$D$12) + (A18=Inputs!$C$13)*(Inputs!$D$13) + (A18=Inputs!$C$14)*(Inputs!$D$14)) *(A18 &gt;= a_afil)*(A18&gt;=2024)</f>
        <v>0</v>
      </c>
      <c r="E18" s="30">
        <v>0</v>
      </c>
      <c r="F18" s="30">
        <f t="shared" si="3"/>
        <v>0</v>
      </c>
      <c r="G18" s="30">
        <f t="shared" si="4"/>
        <v>0</v>
      </c>
      <c r="H18" s="30">
        <v>4.8118889331817627E-2</v>
      </c>
      <c r="I18" s="37">
        <f t="shared" si="5"/>
        <v>0</v>
      </c>
      <c r="J18" s="37">
        <f t="shared" si="6"/>
        <v>0</v>
      </c>
      <c r="K18" s="84"/>
      <c r="L18" s="71"/>
      <c r="M18" s="87"/>
      <c r="N18" s="47"/>
      <c r="O18" s="47"/>
      <c r="P18" s="47"/>
      <c r="Q18" s="54">
        <f t="shared" si="7"/>
        <v>0</v>
      </c>
      <c r="R18" s="54">
        <f t="shared" si="8"/>
        <v>0</v>
      </c>
      <c r="S18" s="54">
        <f t="shared" si="9"/>
        <v>0</v>
      </c>
      <c r="T18" s="54">
        <f t="shared" si="10"/>
        <v>0</v>
      </c>
      <c r="U18" s="47"/>
      <c r="V18" s="47"/>
      <c r="W18" s="47"/>
      <c r="X18" s="47"/>
      <c r="Y18" s="47"/>
      <c r="Z18" s="70">
        <f t="shared" si="11"/>
        <v>0</v>
      </c>
      <c r="AA18" s="70">
        <f t="shared" si="12"/>
        <v>0</v>
      </c>
      <c r="AB18" s="54">
        <f t="shared" si="13"/>
        <v>0</v>
      </c>
      <c r="AC18" s="54">
        <f t="shared" si="14"/>
        <v>0</v>
      </c>
      <c r="AI18" s="52">
        <f>($A18=Esc_6c!D$9)*Z18/(12*_xlfn.XLOOKUP(AI$15,sexo_cnu,cnu))</f>
        <v>0</v>
      </c>
      <c r="AJ18" s="52">
        <f>($A18=Esc_6c!E$9)*AA18/(12*_xlfn.XLOOKUP(AJ$15,sexo_cnu,cnu))</f>
        <v>0</v>
      </c>
      <c r="AK18" s="52">
        <f>($A18=Esc_6c!D$9)*AB18/(12*_xlfn.XLOOKUP(AK$15,sexo_cnu,cnu))</f>
        <v>0</v>
      </c>
      <c r="AL18" s="52">
        <f>($A18=Esc_6c!E$9)*AC18/(12*_xlfn.XLOOKUP(AL$15,sexo_cnu,cnu))</f>
        <v>0</v>
      </c>
      <c r="AM18" s="30"/>
      <c r="AN18" s="30"/>
      <c r="AO18" s="30"/>
      <c r="AP18" s="30"/>
      <c r="AU18" s="39"/>
      <c r="AV18" s="39"/>
    </row>
    <row r="19" spans="1:48" x14ac:dyDescent="0.25">
      <c r="A19" s="30">
        <v>1984</v>
      </c>
      <c r="B19" s="33">
        <f>w_uf*UF*Parámetros!C6</f>
        <v>370107.77342588617</v>
      </c>
      <c r="C19" s="30">
        <f t="shared" si="2"/>
        <v>5</v>
      </c>
      <c r="D19" s="30">
        <f>((A19=Inputs!$C$12)*(Inputs!$D$12) + (A19=Inputs!$C$13)*(Inputs!$D$13) + (A19=Inputs!$C$14)*(Inputs!$D$14)) *(A19 &gt;= a_afil)*(A19&gt;=2024)</f>
        <v>0</v>
      </c>
      <c r="E19" s="30">
        <v>0</v>
      </c>
      <c r="F19" s="30">
        <f t="shared" si="3"/>
        <v>0</v>
      </c>
      <c r="G19" s="30">
        <f t="shared" si="4"/>
        <v>0</v>
      </c>
      <c r="H19" s="30">
        <v>0.71481633186340332</v>
      </c>
      <c r="I19" s="37">
        <f t="shared" si="5"/>
        <v>0</v>
      </c>
      <c r="J19" s="37">
        <f t="shared" si="6"/>
        <v>0</v>
      </c>
      <c r="K19" s="84"/>
      <c r="L19" s="71"/>
      <c r="M19" s="87"/>
      <c r="N19" s="47"/>
      <c r="O19" s="47"/>
      <c r="P19" s="47"/>
      <c r="Q19" s="54">
        <f t="shared" si="7"/>
        <v>0</v>
      </c>
      <c r="R19" s="54">
        <f t="shared" si="8"/>
        <v>0</v>
      </c>
      <c r="S19" s="54">
        <f t="shared" si="9"/>
        <v>0</v>
      </c>
      <c r="T19" s="54">
        <f t="shared" si="10"/>
        <v>0</v>
      </c>
      <c r="U19" s="47"/>
      <c r="V19" s="47"/>
      <c r="W19" s="47"/>
      <c r="X19" s="47"/>
      <c r="Y19" s="47"/>
      <c r="Z19" s="70">
        <f t="shared" si="11"/>
        <v>0</v>
      </c>
      <c r="AA19" s="70">
        <f t="shared" si="12"/>
        <v>0</v>
      </c>
      <c r="AB19" s="54">
        <f t="shared" si="13"/>
        <v>0</v>
      </c>
      <c r="AC19" s="54">
        <f t="shared" si="14"/>
        <v>0</v>
      </c>
      <c r="AI19" s="52">
        <f>($A19=Esc_6c!D$9)*Z19/(12*_xlfn.XLOOKUP(AI$15,sexo_cnu,cnu))</f>
        <v>0</v>
      </c>
      <c r="AJ19" s="52">
        <f>($A19=Esc_6c!E$9)*AA19/(12*_xlfn.XLOOKUP(AJ$15,sexo_cnu,cnu))</f>
        <v>0</v>
      </c>
      <c r="AK19" s="52">
        <f>($A19=Esc_6c!D$9)*AB19/(12*_xlfn.XLOOKUP(AK$15,sexo_cnu,cnu))</f>
        <v>0</v>
      </c>
      <c r="AL19" s="52">
        <f>($A19=Esc_6c!E$9)*AC19/(12*_xlfn.XLOOKUP(AL$15,sexo_cnu,cnu))</f>
        <v>0</v>
      </c>
      <c r="AM19" s="30"/>
      <c r="AN19" s="30"/>
      <c r="AO19" s="30"/>
      <c r="AP19" s="30"/>
      <c r="AU19" s="39"/>
      <c r="AV19" s="39"/>
    </row>
    <row r="20" spans="1:48" x14ac:dyDescent="0.25">
      <c r="A20" s="30">
        <v>1985</v>
      </c>
      <c r="B20" s="33">
        <f>w_uf*UF*Parámetros!C7</f>
        <v>371644.21891942294</v>
      </c>
      <c r="C20" s="30">
        <f t="shared" si="2"/>
        <v>6</v>
      </c>
      <c r="D20" s="30">
        <f>((A20=Inputs!$C$12)*(Inputs!$D$12) + (A20=Inputs!$C$13)*(Inputs!$D$13) + (A20=Inputs!$C$14)*(Inputs!$D$14)) *(A20 &gt;= a_afil)*(A20&gt;=2024)</f>
        <v>0</v>
      </c>
      <c r="E20" s="30">
        <v>0</v>
      </c>
      <c r="F20" s="30">
        <f t="shared" si="3"/>
        <v>0</v>
      </c>
      <c r="G20" s="30">
        <f t="shared" si="4"/>
        <v>0</v>
      </c>
      <c r="H20" s="30">
        <v>0.53302234411239624</v>
      </c>
      <c r="I20" s="37">
        <f t="shared" si="5"/>
        <v>0</v>
      </c>
      <c r="J20" s="37">
        <f t="shared" si="6"/>
        <v>0</v>
      </c>
      <c r="K20" s="84"/>
      <c r="L20" s="71"/>
      <c r="M20" s="87"/>
      <c r="N20" s="47"/>
      <c r="O20" s="47"/>
      <c r="P20" s="47"/>
      <c r="Q20" s="54">
        <f t="shared" si="7"/>
        <v>0</v>
      </c>
      <c r="R20" s="54">
        <f t="shared" si="8"/>
        <v>0</v>
      </c>
      <c r="S20" s="54">
        <f t="shared" si="9"/>
        <v>0</v>
      </c>
      <c r="T20" s="54">
        <f t="shared" si="10"/>
        <v>0</v>
      </c>
      <c r="U20" s="47"/>
      <c r="V20" s="47"/>
      <c r="W20" s="47"/>
      <c r="X20" s="47"/>
      <c r="Y20" s="47"/>
      <c r="Z20" s="70">
        <f t="shared" si="11"/>
        <v>0</v>
      </c>
      <c r="AA20" s="70">
        <f t="shared" si="12"/>
        <v>0</v>
      </c>
      <c r="AB20" s="54">
        <f t="shared" si="13"/>
        <v>0</v>
      </c>
      <c r="AC20" s="54">
        <f t="shared" si="14"/>
        <v>0</v>
      </c>
      <c r="AI20" s="52">
        <f>($A20=Esc_6c!D$9)*Z20/(12*_xlfn.XLOOKUP(AI$15,sexo_cnu,cnu))</f>
        <v>0</v>
      </c>
      <c r="AJ20" s="52">
        <f>($A20=Esc_6c!E$9)*AA20/(12*_xlfn.XLOOKUP(AJ$15,sexo_cnu,cnu))</f>
        <v>0</v>
      </c>
      <c r="AK20" s="52">
        <f>($A20=Esc_6c!D$9)*AB20/(12*_xlfn.XLOOKUP(AK$15,sexo_cnu,cnu))</f>
        <v>0</v>
      </c>
      <c r="AL20" s="52">
        <f>($A20=Esc_6c!E$9)*AC20/(12*_xlfn.XLOOKUP(AL$15,sexo_cnu,cnu))</f>
        <v>0</v>
      </c>
      <c r="AM20" s="30"/>
      <c r="AN20" s="30"/>
      <c r="AO20" s="30"/>
      <c r="AP20" s="30"/>
      <c r="AU20" s="39"/>
      <c r="AV20" s="39"/>
    </row>
    <row r="21" spans="1:48" x14ac:dyDescent="0.25">
      <c r="A21" s="30">
        <v>1986</v>
      </c>
      <c r="B21" s="33">
        <f>w_uf*UF*Parámetros!C8</f>
        <v>355266.04053559707</v>
      </c>
      <c r="C21" s="30">
        <f t="shared" si="2"/>
        <v>7</v>
      </c>
      <c r="D21" s="30">
        <f>((A21=Inputs!$C$12)*(Inputs!$D$12) + (A21=Inputs!$C$13)*(Inputs!$D$13) + (A21=Inputs!$C$14)*(Inputs!$D$14)) *(A21 &gt;= a_afil)*(A21&gt;=2024)</f>
        <v>0</v>
      </c>
      <c r="E21" s="30">
        <v>0</v>
      </c>
      <c r="F21" s="30">
        <f t="shared" si="3"/>
        <v>0</v>
      </c>
      <c r="G21" s="30">
        <f t="shared" si="4"/>
        <v>0</v>
      </c>
      <c r="H21" s="30">
        <v>0.56100928783416748</v>
      </c>
      <c r="I21" s="37">
        <f t="shared" si="5"/>
        <v>0</v>
      </c>
      <c r="J21" s="37">
        <f t="shared" si="6"/>
        <v>0</v>
      </c>
      <c r="K21" s="84"/>
      <c r="L21" s="71"/>
      <c r="M21" s="87"/>
      <c r="N21" s="47"/>
      <c r="O21" s="47"/>
      <c r="P21" s="47"/>
      <c r="Q21" s="54">
        <f t="shared" si="7"/>
        <v>0</v>
      </c>
      <c r="R21" s="54">
        <f t="shared" si="8"/>
        <v>0</v>
      </c>
      <c r="S21" s="54">
        <f t="shared" si="9"/>
        <v>0</v>
      </c>
      <c r="T21" s="54">
        <f t="shared" si="10"/>
        <v>0</v>
      </c>
      <c r="U21" s="47"/>
      <c r="V21" s="47"/>
      <c r="W21" s="47"/>
      <c r="X21" s="47"/>
      <c r="Y21" s="47"/>
      <c r="Z21" s="70">
        <f t="shared" si="11"/>
        <v>0</v>
      </c>
      <c r="AA21" s="70">
        <f t="shared" si="12"/>
        <v>0</v>
      </c>
      <c r="AB21" s="54">
        <f t="shared" si="13"/>
        <v>0</v>
      </c>
      <c r="AC21" s="54">
        <f t="shared" si="14"/>
        <v>0</v>
      </c>
      <c r="AI21" s="52">
        <f>($A21=Esc_6c!D$9)*Z21/(12*_xlfn.XLOOKUP(AI$15,sexo_cnu,cnu))</f>
        <v>0</v>
      </c>
      <c r="AJ21" s="52">
        <f>($A21=Esc_6c!E$9)*AA21/(12*_xlfn.XLOOKUP(AJ$15,sexo_cnu,cnu))</f>
        <v>0</v>
      </c>
      <c r="AK21" s="52">
        <f>($A21=Esc_6c!D$9)*AB21/(12*_xlfn.XLOOKUP(AK$15,sexo_cnu,cnu))</f>
        <v>0</v>
      </c>
      <c r="AL21" s="52">
        <f>($A21=Esc_6c!E$9)*AC21/(12*_xlfn.XLOOKUP(AL$15,sexo_cnu,cnu))</f>
        <v>0</v>
      </c>
      <c r="AM21" s="30"/>
      <c r="AN21" s="30"/>
      <c r="AO21" s="30"/>
      <c r="AP21" s="30"/>
      <c r="AU21" s="39"/>
      <c r="AV21" s="39"/>
    </row>
    <row r="22" spans="1:48" x14ac:dyDescent="0.25">
      <c r="A22" s="30">
        <v>1987</v>
      </c>
      <c r="B22" s="33">
        <f>w_uf*UF*Parámetros!C9</f>
        <v>359257.97682883986</v>
      </c>
      <c r="C22" s="30">
        <f t="shared" si="2"/>
        <v>8</v>
      </c>
      <c r="D22" s="30">
        <f>((A22=Inputs!$C$12)*(Inputs!$D$12) + (A22=Inputs!$C$13)*(Inputs!$D$13) + (A22=Inputs!$C$14)*(Inputs!$D$14)) *(A22 &gt;= a_afil)*(A22&gt;=2024)</f>
        <v>0</v>
      </c>
      <c r="E22" s="30">
        <v>0</v>
      </c>
      <c r="F22" s="30">
        <f t="shared" si="3"/>
        <v>0</v>
      </c>
      <c r="G22" s="30">
        <f t="shared" si="4"/>
        <v>0</v>
      </c>
      <c r="H22" s="30">
        <v>0.21673351526260376</v>
      </c>
      <c r="I22" s="37">
        <f t="shared" si="5"/>
        <v>0</v>
      </c>
      <c r="J22" s="37">
        <f t="shared" si="6"/>
        <v>0</v>
      </c>
      <c r="K22" s="84"/>
      <c r="L22" s="71"/>
      <c r="M22" s="87"/>
      <c r="N22" s="47"/>
      <c r="O22" s="47"/>
      <c r="P22" s="47"/>
      <c r="Q22" s="54">
        <f t="shared" si="7"/>
        <v>0</v>
      </c>
      <c r="R22" s="54">
        <f t="shared" si="8"/>
        <v>0</v>
      </c>
      <c r="S22" s="54">
        <f t="shared" si="9"/>
        <v>0</v>
      </c>
      <c r="T22" s="54">
        <f t="shared" si="10"/>
        <v>0</v>
      </c>
      <c r="U22" s="47"/>
      <c r="V22" s="47"/>
      <c r="W22" s="47"/>
      <c r="X22" s="47"/>
      <c r="Y22" s="47"/>
      <c r="Z22" s="70">
        <f t="shared" si="11"/>
        <v>0</v>
      </c>
      <c r="AA22" s="70">
        <f t="shared" si="12"/>
        <v>0</v>
      </c>
      <c r="AB22" s="54">
        <f t="shared" si="13"/>
        <v>0</v>
      </c>
      <c r="AC22" s="54">
        <f t="shared" si="14"/>
        <v>0</v>
      </c>
      <c r="AI22" s="52">
        <f>($A22=Esc_6c!D$9)*Z22/(12*_xlfn.XLOOKUP(AI$15,sexo_cnu,cnu))</f>
        <v>0</v>
      </c>
      <c r="AJ22" s="52">
        <f>($A22=Esc_6c!E$9)*AA22/(12*_xlfn.XLOOKUP(AJ$15,sexo_cnu,cnu))</f>
        <v>0</v>
      </c>
      <c r="AK22" s="52">
        <f>($A22=Esc_6c!D$9)*AB22/(12*_xlfn.XLOOKUP(AK$15,sexo_cnu,cnu))</f>
        <v>0</v>
      </c>
      <c r="AL22" s="52">
        <f>($A22=Esc_6c!E$9)*AC22/(12*_xlfn.XLOOKUP(AL$15,sexo_cnu,cnu))</f>
        <v>0</v>
      </c>
      <c r="AM22" s="30"/>
      <c r="AN22" s="30"/>
      <c r="AO22" s="30"/>
      <c r="AP22" s="30"/>
      <c r="AU22" s="39"/>
      <c r="AV22" s="39"/>
    </row>
    <row r="23" spans="1:48" x14ac:dyDescent="0.25">
      <c r="A23" s="30">
        <v>1988</v>
      </c>
      <c r="B23" s="33">
        <f>w_uf*UF*Parámetros!C10</f>
        <v>360615.50271978014</v>
      </c>
      <c r="C23" s="30">
        <f t="shared" si="2"/>
        <v>9</v>
      </c>
      <c r="D23" s="30">
        <f>((A23=Inputs!$C$12)*(Inputs!$D$12) + (A23=Inputs!$C$13)*(Inputs!$D$13) + (A23=Inputs!$C$14)*(Inputs!$D$14)) *(A23 &gt;= a_afil)*(A23&gt;=2024)</f>
        <v>0</v>
      </c>
      <c r="E23" s="30">
        <v>0</v>
      </c>
      <c r="F23" s="30">
        <f t="shared" si="3"/>
        <v>0</v>
      </c>
      <c r="G23" s="30">
        <f t="shared" si="4"/>
        <v>0</v>
      </c>
      <c r="H23" s="30">
        <v>0.46800565719604492</v>
      </c>
      <c r="I23" s="37">
        <f t="shared" si="5"/>
        <v>0</v>
      </c>
      <c r="J23" s="37">
        <f t="shared" si="6"/>
        <v>0</v>
      </c>
      <c r="K23" s="84"/>
      <c r="L23" s="71"/>
      <c r="M23" s="87"/>
      <c r="N23" s="47"/>
      <c r="O23" s="47"/>
      <c r="P23" s="47"/>
      <c r="Q23" s="54">
        <f t="shared" si="7"/>
        <v>0</v>
      </c>
      <c r="R23" s="54">
        <f t="shared" si="8"/>
        <v>0</v>
      </c>
      <c r="S23" s="54">
        <f t="shared" si="9"/>
        <v>0</v>
      </c>
      <c r="T23" s="54">
        <f t="shared" si="10"/>
        <v>0</v>
      </c>
      <c r="U23" s="47"/>
      <c r="V23" s="47"/>
      <c r="W23" s="47"/>
      <c r="X23" s="47"/>
      <c r="Y23" s="47"/>
      <c r="Z23" s="70">
        <f t="shared" si="11"/>
        <v>0</v>
      </c>
      <c r="AA23" s="70">
        <f t="shared" si="12"/>
        <v>0</v>
      </c>
      <c r="AB23" s="54">
        <f t="shared" si="13"/>
        <v>0</v>
      </c>
      <c r="AC23" s="54">
        <f t="shared" si="14"/>
        <v>0</v>
      </c>
      <c r="AI23" s="52">
        <f>($A23=Esc_6c!D$9)*Z23/(12*_xlfn.XLOOKUP(AI$15,sexo_cnu,cnu))</f>
        <v>0</v>
      </c>
      <c r="AJ23" s="52">
        <f>($A23=Esc_6c!E$9)*AA23/(12*_xlfn.XLOOKUP(AJ$15,sexo_cnu,cnu))</f>
        <v>0</v>
      </c>
      <c r="AK23" s="52">
        <f>($A23=Esc_6c!D$9)*AB23/(12*_xlfn.XLOOKUP(AK$15,sexo_cnu,cnu))</f>
        <v>0</v>
      </c>
      <c r="AL23" s="52">
        <f>($A23=Esc_6c!E$9)*AC23/(12*_xlfn.XLOOKUP(AL$15,sexo_cnu,cnu))</f>
        <v>0</v>
      </c>
      <c r="AM23" s="30"/>
      <c r="AN23" s="30"/>
      <c r="AO23" s="30"/>
      <c r="AP23" s="30"/>
      <c r="AU23" s="39"/>
      <c r="AV23" s="39"/>
    </row>
    <row r="24" spans="1:48" x14ac:dyDescent="0.25">
      <c r="A24" s="30">
        <v>1989</v>
      </c>
      <c r="B24" s="33">
        <f>w_uf*UF*Parámetros!C11</f>
        <v>380483.57160776353</v>
      </c>
      <c r="C24" s="30">
        <f t="shared" si="2"/>
        <v>10</v>
      </c>
      <c r="D24" s="30">
        <f>((A24=Inputs!$C$12)*(Inputs!$D$12) + (A24=Inputs!$C$13)*(Inputs!$D$13) + (A24=Inputs!$C$14)*(Inputs!$D$14)) *(A24 &gt;= a_afil)*(A24&gt;=2024)</f>
        <v>0</v>
      </c>
      <c r="E24" s="30">
        <v>0</v>
      </c>
      <c r="F24" s="30">
        <f t="shared" si="3"/>
        <v>0</v>
      </c>
      <c r="G24" s="30">
        <f t="shared" si="4"/>
        <v>0</v>
      </c>
      <c r="H24" s="30">
        <v>0.74635475873947144</v>
      </c>
      <c r="I24" s="37">
        <f t="shared" si="5"/>
        <v>0</v>
      </c>
      <c r="J24" s="37">
        <f t="shared" si="6"/>
        <v>0</v>
      </c>
      <c r="K24" s="84"/>
      <c r="L24" s="71"/>
      <c r="M24" s="87"/>
      <c r="N24" s="47"/>
      <c r="O24" s="47"/>
      <c r="P24" s="47"/>
      <c r="Q24" s="54">
        <f t="shared" si="7"/>
        <v>0</v>
      </c>
      <c r="R24" s="54">
        <f t="shared" si="8"/>
        <v>0</v>
      </c>
      <c r="S24" s="54">
        <f t="shared" si="9"/>
        <v>0</v>
      </c>
      <c r="T24" s="54">
        <f t="shared" si="10"/>
        <v>0</v>
      </c>
      <c r="U24" s="47"/>
      <c r="V24" s="47"/>
      <c r="W24" s="47"/>
      <c r="X24" s="47"/>
      <c r="Y24" s="47"/>
      <c r="Z24" s="70">
        <f t="shared" si="11"/>
        <v>0</v>
      </c>
      <c r="AA24" s="70">
        <f t="shared" si="12"/>
        <v>0</v>
      </c>
      <c r="AB24" s="54">
        <f t="shared" si="13"/>
        <v>0</v>
      </c>
      <c r="AC24" s="54">
        <f t="shared" si="14"/>
        <v>0</v>
      </c>
      <c r="AI24" s="52">
        <f>($A24=Esc_6c!D$9)*Z24/(12*_xlfn.XLOOKUP(AI$15,sexo_cnu,cnu))</f>
        <v>0</v>
      </c>
      <c r="AJ24" s="52">
        <f>($A24=Esc_6c!E$9)*AA24/(12*_xlfn.XLOOKUP(AJ$15,sexo_cnu,cnu))</f>
        <v>0</v>
      </c>
      <c r="AK24" s="52">
        <f>($A24=Esc_6c!D$9)*AB24/(12*_xlfn.XLOOKUP(AK$15,sexo_cnu,cnu))</f>
        <v>0</v>
      </c>
      <c r="AL24" s="52">
        <f>($A24=Esc_6c!E$9)*AC24/(12*_xlfn.XLOOKUP(AL$15,sexo_cnu,cnu))</f>
        <v>0</v>
      </c>
      <c r="AM24" s="30"/>
      <c r="AN24" s="30"/>
      <c r="AO24" s="30"/>
      <c r="AP24" s="30"/>
      <c r="AU24" s="39"/>
      <c r="AV24" s="39"/>
    </row>
    <row r="25" spans="1:48" x14ac:dyDescent="0.25">
      <c r="A25" s="30">
        <v>1990</v>
      </c>
      <c r="B25" s="33">
        <f>w_uf*UF*Parámetros!C12</f>
        <v>391749.31518672069</v>
      </c>
      <c r="C25" s="30">
        <f t="shared" si="2"/>
        <v>11</v>
      </c>
      <c r="D25" s="30">
        <f>((A25=Inputs!$C$12)*(Inputs!$D$12) + (A25=Inputs!$C$13)*(Inputs!$D$13) + (A25=Inputs!$C$14)*(Inputs!$D$14)) *(A25 &gt;= a_afil)*(A25&gt;=2024)</f>
        <v>0</v>
      </c>
      <c r="E25" s="30">
        <v>0</v>
      </c>
      <c r="F25" s="30">
        <f t="shared" si="3"/>
        <v>0</v>
      </c>
      <c r="G25" s="30">
        <f t="shared" si="4"/>
        <v>0</v>
      </c>
      <c r="H25" s="30">
        <v>0.75231087207794189</v>
      </c>
      <c r="I25" s="37">
        <f t="shared" si="5"/>
        <v>0</v>
      </c>
      <c r="J25" s="37">
        <f t="shared" si="6"/>
        <v>0</v>
      </c>
      <c r="K25" s="84"/>
      <c r="L25" s="71"/>
      <c r="M25" s="87"/>
      <c r="N25" s="47"/>
      <c r="O25" s="47"/>
      <c r="P25" s="47"/>
      <c r="Q25" s="54">
        <f t="shared" si="7"/>
        <v>0</v>
      </c>
      <c r="R25" s="54">
        <f t="shared" si="8"/>
        <v>0</v>
      </c>
      <c r="S25" s="54">
        <f t="shared" si="9"/>
        <v>0</v>
      </c>
      <c r="T25" s="54">
        <f t="shared" si="10"/>
        <v>0</v>
      </c>
      <c r="U25" s="47"/>
      <c r="V25" s="47"/>
      <c r="W25" s="47"/>
      <c r="X25" s="47"/>
      <c r="Y25" s="47"/>
      <c r="Z25" s="70">
        <f t="shared" si="11"/>
        <v>0</v>
      </c>
      <c r="AA25" s="70">
        <f t="shared" si="12"/>
        <v>0</v>
      </c>
      <c r="AB25" s="54">
        <f t="shared" si="13"/>
        <v>0</v>
      </c>
      <c r="AC25" s="54">
        <f t="shared" si="14"/>
        <v>0</v>
      </c>
      <c r="AI25" s="52">
        <f>($A25=Esc_6c!D$9)*Z25/(12*_xlfn.XLOOKUP(AI$15,sexo_cnu,cnu))</f>
        <v>0</v>
      </c>
      <c r="AJ25" s="52">
        <f>($A25=Esc_6c!E$9)*AA25/(12*_xlfn.XLOOKUP(AJ$15,sexo_cnu,cnu))</f>
        <v>0</v>
      </c>
      <c r="AK25" s="52">
        <f>($A25=Esc_6c!D$9)*AB25/(12*_xlfn.XLOOKUP(AK$15,sexo_cnu,cnu))</f>
        <v>0</v>
      </c>
      <c r="AL25" s="52">
        <f>($A25=Esc_6c!E$9)*AC25/(12*_xlfn.XLOOKUP(AL$15,sexo_cnu,cnu))</f>
        <v>0</v>
      </c>
      <c r="AM25" s="30"/>
      <c r="AN25" s="30"/>
      <c r="AO25" s="30"/>
      <c r="AP25" s="30"/>
      <c r="AU25" s="39"/>
      <c r="AV25" s="39"/>
    </row>
    <row r="26" spans="1:48" x14ac:dyDescent="0.25">
      <c r="A26" s="30">
        <v>1991</v>
      </c>
      <c r="B26" s="33">
        <f>w_uf*UF*Parámetros!C13</f>
        <v>401198.74425541307</v>
      </c>
      <c r="C26" s="30">
        <f t="shared" si="2"/>
        <v>12</v>
      </c>
      <c r="D26" s="30">
        <f>((A26=Inputs!$C$12)*(Inputs!$D$12) + (A26=Inputs!$C$13)*(Inputs!$D$13) + (A26=Inputs!$C$14)*(Inputs!$D$14)) *(A26 &gt;= a_afil)*(A26&gt;=2024)</f>
        <v>0</v>
      </c>
      <c r="E26" s="30">
        <v>0</v>
      </c>
      <c r="F26" s="30">
        <f t="shared" si="3"/>
        <v>0</v>
      </c>
      <c r="G26" s="30">
        <f t="shared" si="4"/>
        <v>0</v>
      </c>
      <c r="H26" s="30">
        <v>0.39893227815628052</v>
      </c>
      <c r="I26" s="37">
        <f t="shared" si="5"/>
        <v>0</v>
      </c>
      <c r="J26" s="37">
        <f t="shared" si="6"/>
        <v>0</v>
      </c>
      <c r="K26" s="84"/>
      <c r="L26" s="71"/>
      <c r="M26" s="87"/>
      <c r="N26" s="47"/>
      <c r="O26" s="47"/>
      <c r="P26" s="47"/>
      <c r="Q26" s="54">
        <f t="shared" si="7"/>
        <v>0</v>
      </c>
      <c r="R26" s="54">
        <f t="shared" si="8"/>
        <v>0</v>
      </c>
      <c r="S26" s="54">
        <f t="shared" si="9"/>
        <v>0</v>
      </c>
      <c r="T26" s="54">
        <f t="shared" si="10"/>
        <v>0</v>
      </c>
      <c r="U26" s="47"/>
      <c r="V26" s="47"/>
      <c r="W26" s="47"/>
      <c r="X26" s="47"/>
      <c r="Y26" s="47"/>
      <c r="Z26" s="70">
        <f t="shared" si="11"/>
        <v>0</v>
      </c>
      <c r="AA26" s="70">
        <f t="shared" si="12"/>
        <v>0</v>
      </c>
      <c r="AB26" s="54">
        <f t="shared" si="13"/>
        <v>0</v>
      </c>
      <c r="AC26" s="54">
        <f t="shared" si="14"/>
        <v>0</v>
      </c>
      <c r="AI26" s="52">
        <f>($A26=Esc_6c!D$9)*Z26/(12*_xlfn.XLOOKUP(AI$15,sexo_cnu,cnu))</f>
        <v>0</v>
      </c>
      <c r="AJ26" s="52">
        <f>($A26=Esc_6c!E$9)*AA26/(12*_xlfn.XLOOKUP(AJ$15,sexo_cnu,cnu))</f>
        <v>0</v>
      </c>
      <c r="AK26" s="52">
        <f>($A26=Esc_6c!D$9)*AB26/(12*_xlfn.XLOOKUP(AK$15,sexo_cnu,cnu))</f>
        <v>0</v>
      </c>
      <c r="AL26" s="52">
        <f>($A26=Esc_6c!E$9)*AC26/(12*_xlfn.XLOOKUP(AL$15,sexo_cnu,cnu))</f>
        <v>0</v>
      </c>
      <c r="AM26" s="30"/>
      <c r="AN26" s="30"/>
      <c r="AO26" s="30"/>
      <c r="AP26" s="30"/>
      <c r="AU26" s="39"/>
      <c r="AV26" s="39"/>
    </row>
    <row r="27" spans="1:48" x14ac:dyDescent="0.25">
      <c r="A27" s="30">
        <v>1992</v>
      </c>
      <c r="B27" s="33">
        <f>w_uf*UF*Parámetros!C14</f>
        <v>418002.87828180124</v>
      </c>
      <c r="C27" s="30">
        <f t="shared" si="2"/>
        <v>13</v>
      </c>
      <c r="D27" s="30">
        <f>((A27=Inputs!$C$12)*(Inputs!$D$12) + (A27=Inputs!$C$13)*(Inputs!$D$13) + (A27=Inputs!$C$14)*(Inputs!$D$14)) *(A27 &gt;= a_afil)*(A27&gt;=2024)</f>
        <v>0</v>
      </c>
      <c r="E27" s="30">
        <v>0</v>
      </c>
      <c r="F27" s="30">
        <f t="shared" si="3"/>
        <v>0</v>
      </c>
      <c r="G27" s="30">
        <f t="shared" si="4"/>
        <v>0</v>
      </c>
      <c r="H27" s="30">
        <v>0.90309882164001465</v>
      </c>
      <c r="I27" s="37">
        <f t="shared" si="5"/>
        <v>0</v>
      </c>
      <c r="J27" s="37">
        <f t="shared" si="6"/>
        <v>0</v>
      </c>
      <c r="K27" s="84"/>
      <c r="L27" s="71"/>
      <c r="M27" s="87"/>
      <c r="N27" s="47"/>
      <c r="O27" s="47"/>
      <c r="P27" s="47"/>
      <c r="Q27" s="54">
        <f t="shared" si="7"/>
        <v>0</v>
      </c>
      <c r="R27" s="54">
        <f t="shared" si="8"/>
        <v>0</v>
      </c>
      <c r="S27" s="54">
        <f t="shared" si="9"/>
        <v>0</v>
      </c>
      <c r="T27" s="54">
        <f t="shared" si="10"/>
        <v>0</v>
      </c>
      <c r="U27" s="47"/>
      <c r="V27" s="47"/>
      <c r="W27" s="47"/>
      <c r="X27" s="47"/>
      <c r="Y27" s="47"/>
      <c r="Z27" s="70">
        <f t="shared" si="11"/>
        <v>0</v>
      </c>
      <c r="AA27" s="70">
        <f t="shared" si="12"/>
        <v>0</v>
      </c>
      <c r="AB27" s="54">
        <f t="shared" si="13"/>
        <v>0</v>
      </c>
      <c r="AC27" s="54">
        <f t="shared" si="14"/>
        <v>0</v>
      </c>
      <c r="AI27" s="52">
        <f>($A27=Esc_6c!D$9)*Z27/(12*_xlfn.XLOOKUP(AI$15,sexo_cnu,cnu))</f>
        <v>0</v>
      </c>
      <c r="AJ27" s="52">
        <f>($A27=Esc_6c!E$9)*AA27/(12*_xlfn.XLOOKUP(AJ$15,sexo_cnu,cnu))</f>
        <v>0</v>
      </c>
      <c r="AK27" s="52">
        <f>($A27=Esc_6c!D$9)*AB27/(12*_xlfn.XLOOKUP(AK$15,sexo_cnu,cnu))</f>
        <v>0</v>
      </c>
      <c r="AL27" s="52">
        <f>($A27=Esc_6c!E$9)*AC27/(12*_xlfn.XLOOKUP(AL$15,sexo_cnu,cnu))</f>
        <v>0</v>
      </c>
      <c r="AM27" s="30"/>
      <c r="AN27" s="30"/>
      <c r="AO27" s="30"/>
      <c r="AP27" s="30"/>
      <c r="AU27" s="39"/>
      <c r="AV27" s="39"/>
    </row>
    <row r="28" spans="1:48" x14ac:dyDescent="0.25">
      <c r="A28" s="30">
        <v>1993</v>
      </c>
      <c r="B28" s="33">
        <f>w_uf*UF*Parámetros!C15</f>
        <v>435209.71654134156</v>
      </c>
      <c r="C28" s="30">
        <f t="shared" si="2"/>
        <v>14</v>
      </c>
      <c r="D28" s="30">
        <f>((A28=Inputs!$C$12)*(Inputs!$D$12) + (A28=Inputs!$C$13)*(Inputs!$D$13) + (A28=Inputs!$C$14)*(Inputs!$D$14)) *(A28 &gt;= a_afil)*(A28&gt;=2024)</f>
        <v>0</v>
      </c>
      <c r="E28" s="30">
        <v>0</v>
      </c>
      <c r="F28" s="30">
        <f t="shared" si="3"/>
        <v>0</v>
      </c>
      <c r="G28" s="30">
        <f t="shared" si="4"/>
        <v>0</v>
      </c>
      <c r="H28" s="30">
        <v>0.74600690603256226</v>
      </c>
      <c r="I28" s="37">
        <f t="shared" si="5"/>
        <v>0</v>
      </c>
      <c r="J28" s="37">
        <f t="shared" si="6"/>
        <v>0</v>
      </c>
      <c r="K28" s="84"/>
      <c r="L28" s="71"/>
      <c r="M28" s="87"/>
      <c r="N28" s="47"/>
      <c r="O28" s="47"/>
      <c r="P28" s="47"/>
      <c r="Q28" s="54">
        <f t="shared" si="7"/>
        <v>0</v>
      </c>
      <c r="R28" s="54">
        <f t="shared" si="8"/>
        <v>0</v>
      </c>
      <c r="S28" s="54">
        <f t="shared" si="9"/>
        <v>0</v>
      </c>
      <c r="T28" s="54">
        <f t="shared" si="10"/>
        <v>0</v>
      </c>
      <c r="U28" s="47"/>
      <c r="V28" s="47"/>
      <c r="W28" s="47"/>
      <c r="X28" s="47"/>
      <c r="Y28" s="47"/>
      <c r="Z28" s="70">
        <f t="shared" si="11"/>
        <v>0</v>
      </c>
      <c r="AA28" s="70">
        <f t="shared" si="12"/>
        <v>0</v>
      </c>
      <c r="AB28" s="54">
        <f t="shared" si="13"/>
        <v>0</v>
      </c>
      <c r="AC28" s="54">
        <f t="shared" si="14"/>
        <v>0</v>
      </c>
      <c r="AI28" s="52">
        <f>($A28=Esc_6c!D$9)*Z28/(12*_xlfn.XLOOKUP(AI$15,sexo_cnu,cnu))</f>
        <v>0</v>
      </c>
      <c r="AJ28" s="52">
        <f>($A28=Esc_6c!E$9)*AA28/(12*_xlfn.XLOOKUP(AJ$15,sexo_cnu,cnu))</f>
        <v>0</v>
      </c>
      <c r="AK28" s="52">
        <f>($A28=Esc_6c!D$9)*AB28/(12*_xlfn.XLOOKUP(AK$15,sexo_cnu,cnu))</f>
        <v>0</v>
      </c>
      <c r="AL28" s="52">
        <f>($A28=Esc_6c!E$9)*AC28/(12*_xlfn.XLOOKUP(AL$15,sexo_cnu,cnu))</f>
        <v>0</v>
      </c>
      <c r="AM28" s="30"/>
      <c r="AN28" s="30"/>
      <c r="AO28" s="30"/>
      <c r="AP28" s="30"/>
      <c r="AU28" s="39"/>
      <c r="AV28" s="39"/>
    </row>
    <row r="29" spans="1:48" x14ac:dyDescent="0.25">
      <c r="A29" s="30">
        <v>1994</v>
      </c>
      <c r="B29" s="33">
        <f>w_uf*UF*Parámetros!C16</f>
        <v>450251.23358828295</v>
      </c>
      <c r="C29" s="30">
        <f t="shared" si="2"/>
        <v>15</v>
      </c>
      <c r="D29" s="30">
        <f>((A29=Inputs!$C$12)*(Inputs!$D$12) + (A29=Inputs!$C$13)*(Inputs!$D$13) + (A29=Inputs!$C$14)*(Inputs!$D$14)) *(A29 &gt;= a_afil)*(A29&gt;=2024)</f>
        <v>0</v>
      </c>
      <c r="E29" s="30">
        <v>0</v>
      </c>
      <c r="F29" s="30">
        <f t="shared" si="3"/>
        <v>0</v>
      </c>
      <c r="G29" s="30">
        <f t="shared" si="4"/>
        <v>0</v>
      </c>
      <c r="H29" s="30">
        <v>8.8559508323669434E-2</v>
      </c>
      <c r="I29" s="37">
        <f t="shared" si="5"/>
        <v>0</v>
      </c>
      <c r="J29" s="37">
        <f t="shared" si="6"/>
        <v>0</v>
      </c>
      <c r="K29" s="84"/>
      <c r="L29" s="71"/>
      <c r="M29" s="87"/>
      <c r="N29" s="47"/>
      <c r="O29" s="47"/>
      <c r="P29" s="47"/>
      <c r="Q29" s="54">
        <f t="shared" si="7"/>
        <v>0</v>
      </c>
      <c r="R29" s="54">
        <f t="shared" si="8"/>
        <v>0</v>
      </c>
      <c r="S29" s="54">
        <f t="shared" si="9"/>
        <v>0</v>
      </c>
      <c r="T29" s="54">
        <f t="shared" si="10"/>
        <v>0</v>
      </c>
      <c r="U29" s="47"/>
      <c r="V29" s="47"/>
      <c r="W29" s="47"/>
      <c r="X29" s="47"/>
      <c r="Y29" s="47"/>
      <c r="Z29" s="70">
        <f t="shared" si="11"/>
        <v>0</v>
      </c>
      <c r="AA29" s="70">
        <f t="shared" si="12"/>
        <v>0</v>
      </c>
      <c r="AB29" s="54">
        <f t="shared" si="13"/>
        <v>0</v>
      </c>
      <c r="AC29" s="54">
        <f t="shared" si="14"/>
        <v>0</v>
      </c>
      <c r="AI29" s="52">
        <f>($A29=Esc_6c!D$9)*Z29/(12*_xlfn.XLOOKUP(AI$15,sexo_cnu,cnu))</f>
        <v>0</v>
      </c>
      <c r="AJ29" s="52">
        <f>($A29=Esc_6c!E$9)*AA29/(12*_xlfn.XLOOKUP(AJ$15,sexo_cnu,cnu))</f>
        <v>0</v>
      </c>
      <c r="AK29" s="52">
        <f>($A29=Esc_6c!D$9)*AB29/(12*_xlfn.XLOOKUP(AK$15,sexo_cnu,cnu))</f>
        <v>0</v>
      </c>
      <c r="AL29" s="52">
        <f>($A29=Esc_6c!E$9)*AC29/(12*_xlfn.XLOOKUP(AL$15,sexo_cnu,cnu))</f>
        <v>0</v>
      </c>
      <c r="AM29" s="30"/>
      <c r="AN29" s="30"/>
      <c r="AO29" s="30"/>
      <c r="AP29" s="30"/>
      <c r="AU29" s="39"/>
      <c r="AV29" s="39"/>
    </row>
    <row r="30" spans="1:48" x14ac:dyDescent="0.25">
      <c r="A30" s="30">
        <v>1995</v>
      </c>
      <c r="B30" s="33">
        <f>w_uf*UF*Parámetros!C17</f>
        <v>478018.08507792832</v>
      </c>
      <c r="C30" s="30">
        <f t="shared" si="2"/>
        <v>16</v>
      </c>
      <c r="D30" s="30">
        <f>((A30=Inputs!$C$12)*(Inputs!$D$12) + (A30=Inputs!$C$13)*(Inputs!$D$13) + (A30=Inputs!$C$14)*(Inputs!$D$14)) *(A30 &gt;= a_afil)*(A30&gt;=2024)</f>
        <v>0</v>
      </c>
      <c r="E30" s="30">
        <v>0</v>
      </c>
      <c r="F30" s="30">
        <f t="shared" si="3"/>
        <v>0</v>
      </c>
      <c r="G30" s="30">
        <f t="shared" si="4"/>
        <v>0</v>
      </c>
      <c r="H30" s="30">
        <v>0.6345711350440979</v>
      </c>
      <c r="I30" s="37">
        <f t="shared" si="5"/>
        <v>0</v>
      </c>
      <c r="J30" s="37">
        <f t="shared" si="6"/>
        <v>0</v>
      </c>
      <c r="K30" s="84"/>
      <c r="L30" s="71"/>
      <c r="M30" s="87"/>
      <c r="N30" s="47"/>
      <c r="O30" s="47"/>
      <c r="P30" s="47"/>
      <c r="Q30" s="54">
        <f t="shared" si="7"/>
        <v>0</v>
      </c>
      <c r="R30" s="54">
        <f t="shared" si="8"/>
        <v>0</v>
      </c>
      <c r="S30" s="54">
        <f t="shared" si="9"/>
        <v>0</v>
      </c>
      <c r="T30" s="54">
        <f t="shared" si="10"/>
        <v>0</v>
      </c>
      <c r="U30" s="47"/>
      <c r="V30" s="47"/>
      <c r="W30" s="47"/>
      <c r="X30" s="47"/>
      <c r="Y30" s="47"/>
      <c r="Z30" s="70">
        <f t="shared" si="11"/>
        <v>0</v>
      </c>
      <c r="AA30" s="70">
        <f t="shared" si="12"/>
        <v>0</v>
      </c>
      <c r="AB30" s="54">
        <f t="shared" si="13"/>
        <v>0</v>
      </c>
      <c r="AC30" s="54">
        <f t="shared" si="14"/>
        <v>0</v>
      </c>
      <c r="AI30" s="52">
        <f>($A30=Esc_6c!D$9)*Z30/(12*_xlfn.XLOOKUP(AI$15,sexo_cnu,cnu))</f>
        <v>0</v>
      </c>
      <c r="AJ30" s="52">
        <f>($A30=Esc_6c!E$9)*AA30/(12*_xlfn.XLOOKUP(AJ$15,sexo_cnu,cnu))</f>
        <v>0</v>
      </c>
      <c r="AK30" s="52">
        <f>($A30=Esc_6c!D$9)*AB30/(12*_xlfn.XLOOKUP(AK$15,sexo_cnu,cnu))</f>
        <v>0</v>
      </c>
      <c r="AL30" s="52">
        <f>($A30=Esc_6c!E$9)*AC30/(12*_xlfn.XLOOKUP(AL$15,sexo_cnu,cnu))</f>
        <v>0</v>
      </c>
      <c r="AM30" s="30"/>
      <c r="AN30" s="30"/>
      <c r="AO30" s="30"/>
      <c r="AP30" s="30"/>
      <c r="AU30" s="39"/>
      <c r="AV30" s="39"/>
    </row>
    <row r="31" spans="1:48" x14ac:dyDescent="0.25">
      <c r="A31" s="30">
        <v>1996</v>
      </c>
      <c r="B31" s="33">
        <f>w_uf*UF*Parámetros!C18</f>
        <v>501097.41534671315</v>
      </c>
      <c r="C31" s="30">
        <f t="shared" si="2"/>
        <v>17</v>
      </c>
      <c r="D31" s="30">
        <f>((A31=Inputs!$C$12)*(Inputs!$D$12) + (A31=Inputs!$C$13)*(Inputs!$D$13) + (A31=Inputs!$C$14)*(Inputs!$D$14)) *(A31 &gt;= a_afil)*(A31&gt;=2024)</f>
        <v>0</v>
      </c>
      <c r="E31" s="30">
        <v>0</v>
      </c>
      <c r="F31" s="30">
        <f t="shared" si="3"/>
        <v>0</v>
      </c>
      <c r="G31" s="30">
        <f t="shared" si="4"/>
        <v>0</v>
      </c>
      <c r="H31" s="30">
        <v>0.7130279541015625</v>
      </c>
      <c r="I31" s="37">
        <f t="shared" si="5"/>
        <v>0</v>
      </c>
      <c r="J31" s="37">
        <f t="shared" si="6"/>
        <v>0</v>
      </c>
      <c r="K31" s="84"/>
      <c r="L31" s="71"/>
      <c r="M31" s="87"/>
      <c r="N31" s="47"/>
      <c r="O31" s="47"/>
      <c r="P31" s="47"/>
      <c r="Q31" s="54">
        <f t="shared" si="7"/>
        <v>0</v>
      </c>
      <c r="R31" s="54">
        <f t="shared" si="8"/>
        <v>0</v>
      </c>
      <c r="S31" s="54">
        <f t="shared" si="9"/>
        <v>0</v>
      </c>
      <c r="T31" s="54">
        <f t="shared" si="10"/>
        <v>0</v>
      </c>
      <c r="U31" s="47"/>
      <c r="V31" s="47"/>
      <c r="W31" s="47"/>
      <c r="X31" s="47"/>
      <c r="Y31" s="47"/>
      <c r="Z31" s="70">
        <f t="shared" si="11"/>
        <v>0</v>
      </c>
      <c r="AA31" s="70">
        <f t="shared" si="12"/>
        <v>0</v>
      </c>
      <c r="AB31" s="54">
        <f t="shared" si="13"/>
        <v>0</v>
      </c>
      <c r="AC31" s="54">
        <f t="shared" si="14"/>
        <v>0</v>
      </c>
      <c r="AI31" s="52">
        <f>($A31=Esc_6c!D$9)*Z31/(12*_xlfn.XLOOKUP(AI$15,sexo_cnu,cnu))</f>
        <v>0</v>
      </c>
      <c r="AJ31" s="52">
        <f>($A31=Esc_6c!E$9)*AA31/(12*_xlfn.XLOOKUP(AJ$15,sexo_cnu,cnu))</f>
        <v>0</v>
      </c>
      <c r="AK31" s="52">
        <f>($A31=Esc_6c!D$9)*AB31/(12*_xlfn.XLOOKUP(AK$15,sexo_cnu,cnu))</f>
        <v>0</v>
      </c>
      <c r="AL31" s="52">
        <f>($A31=Esc_6c!E$9)*AC31/(12*_xlfn.XLOOKUP(AL$15,sexo_cnu,cnu))</f>
        <v>0</v>
      </c>
      <c r="AM31" s="30"/>
      <c r="AN31" s="30"/>
      <c r="AO31" s="30"/>
      <c r="AP31" s="30"/>
      <c r="AU31" s="39"/>
      <c r="AV31" s="39"/>
    </row>
    <row r="32" spans="1:48" x14ac:dyDescent="0.25">
      <c r="A32" s="30">
        <v>1997</v>
      </c>
      <c r="B32" s="33">
        <f>w_uf*UF*Parámetros!C19</f>
        <v>521793.55390296044</v>
      </c>
      <c r="C32" s="30">
        <f t="shared" si="2"/>
        <v>18</v>
      </c>
      <c r="D32" s="30">
        <f>((A32=Inputs!$C$12)*(Inputs!$D$12) + (A32=Inputs!$C$13)*(Inputs!$D$13) + (A32=Inputs!$C$14)*(Inputs!$D$14)) *(A32 &gt;= a_afil)*(A32&gt;=2024)</f>
        <v>0</v>
      </c>
      <c r="E32" s="30">
        <v>0</v>
      </c>
      <c r="F32" s="30">
        <f t="shared" si="3"/>
        <v>0</v>
      </c>
      <c r="G32" s="30">
        <f t="shared" si="4"/>
        <v>0</v>
      </c>
      <c r="H32" s="30">
        <v>1.5682399272918701E-2</v>
      </c>
      <c r="I32" s="37">
        <f t="shared" si="5"/>
        <v>0</v>
      </c>
      <c r="J32" s="37">
        <f t="shared" si="6"/>
        <v>0</v>
      </c>
      <c r="K32" s="84"/>
      <c r="L32" s="71"/>
      <c r="M32" s="87"/>
      <c r="N32" s="47"/>
      <c r="O32" s="47"/>
      <c r="P32" s="47"/>
      <c r="Q32" s="54">
        <f t="shared" si="7"/>
        <v>0</v>
      </c>
      <c r="R32" s="54">
        <f t="shared" si="8"/>
        <v>0</v>
      </c>
      <c r="S32" s="54">
        <f t="shared" si="9"/>
        <v>0</v>
      </c>
      <c r="T32" s="54">
        <f t="shared" si="10"/>
        <v>0</v>
      </c>
      <c r="U32" s="47"/>
      <c r="V32" s="47"/>
      <c r="W32" s="47"/>
      <c r="X32" s="47"/>
      <c r="Y32" s="47"/>
      <c r="Z32" s="70">
        <f t="shared" si="11"/>
        <v>0</v>
      </c>
      <c r="AA32" s="70">
        <f t="shared" si="12"/>
        <v>0</v>
      </c>
      <c r="AB32" s="54">
        <f t="shared" si="13"/>
        <v>0</v>
      </c>
      <c r="AC32" s="54">
        <f t="shared" si="14"/>
        <v>0</v>
      </c>
      <c r="AI32" s="52">
        <f>($A32=Esc_6c!D$9)*Z32/(12*_xlfn.XLOOKUP(AI$15,sexo_cnu,cnu))</f>
        <v>0</v>
      </c>
      <c r="AJ32" s="52">
        <f>($A32=Esc_6c!E$9)*AA32/(12*_xlfn.XLOOKUP(AJ$15,sexo_cnu,cnu))</f>
        <v>0</v>
      </c>
      <c r="AK32" s="52">
        <f>($A32=Esc_6c!D$9)*AB32/(12*_xlfn.XLOOKUP(AK$15,sexo_cnu,cnu))</f>
        <v>0</v>
      </c>
      <c r="AL32" s="52">
        <f>($A32=Esc_6c!E$9)*AC32/(12*_xlfn.XLOOKUP(AL$15,sexo_cnu,cnu))</f>
        <v>0</v>
      </c>
      <c r="AM32" s="30"/>
      <c r="AN32" s="30"/>
      <c r="AO32" s="30"/>
      <c r="AP32" s="30"/>
      <c r="AU32" s="39"/>
      <c r="AV32" s="39"/>
    </row>
    <row r="33" spans="1:48" x14ac:dyDescent="0.25">
      <c r="A33" s="30">
        <v>1998</v>
      </c>
      <c r="B33" s="33">
        <f>w_uf*UF*Parámetros!C20</f>
        <v>534336.66817947384</v>
      </c>
      <c r="C33" s="30">
        <f t="shared" si="2"/>
        <v>19</v>
      </c>
      <c r="D33" s="30">
        <f>((A33=Inputs!$C$12)*(Inputs!$D$12) + (A33=Inputs!$C$13)*(Inputs!$D$13) + (A33=Inputs!$C$14)*(Inputs!$D$14)) *(A33 &gt;= a_afil)*(A33&gt;=2024)</f>
        <v>0</v>
      </c>
      <c r="E33" s="30">
        <v>0</v>
      </c>
      <c r="F33" s="30">
        <f t="shared" si="3"/>
        <v>0</v>
      </c>
      <c r="G33" s="30">
        <f t="shared" si="4"/>
        <v>0</v>
      </c>
      <c r="H33" s="30">
        <v>0.4311443567276001</v>
      </c>
      <c r="I33" s="37">
        <f t="shared" si="5"/>
        <v>0</v>
      </c>
      <c r="J33" s="37">
        <f t="shared" si="6"/>
        <v>0</v>
      </c>
      <c r="K33" s="84"/>
      <c r="L33" s="71"/>
      <c r="M33" s="87"/>
      <c r="N33" s="47"/>
      <c r="O33" s="47"/>
      <c r="P33" s="47"/>
      <c r="Q33" s="54">
        <f t="shared" si="7"/>
        <v>0</v>
      </c>
      <c r="R33" s="54">
        <f t="shared" si="8"/>
        <v>0</v>
      </c>
      <c r="S33" s="54">
        <f t="shared" si="9"/>
        <v>0</v>
      </c>
      <c r="T33" s="54">
        <f t="shared" si="10"/>
        <v>0</v>
      </c>
      <c r="U33" s="47"/>
      <c r="V33" s="47"/>
      <c r="W33" s="47"/>
      <c r="X33" s="47"/>
      <c r="Y33" s="47"/>
      <c r="Z33" s="70">
        <f t="shared" si="11"/>
        <v>0</v>
      </c>
      <c r="AA33" s="70">
        <f t="shared" si="12"/>
        <v>0</v>
      </c>
      <c r="AB33" s="54">
        <f t="shared" si="13"/>
        <v>0</v>
      </c>
      <c r="AC33" s="54">
        <f t="shared" si="14"/>
        <v>0</v>
      </c>
      <c r="AI33" s="52">
        <f>($A33=Esc_6c!D$9)*Z33/(12*_xlfn.XLOOKUP(AI$15,sexo_cnu,cnu))</f>
        <v>0</v>
      </c>
      <c r="AJ33" s="52">
        <f>($A33=Esc_6c!E$9)*AA33/(12*_xlfn.XLOOKUP(AJ$15,sexo_cnu,cnu))</f>
        <v>0</v>
      </c>
      <c r="AK33" s="52">
        <f>($A33=Esc_6c!D$9)*AB33/(12*_xlfn.XLOOKUP(AK$15,sexo_cnu,cnu))</f>
        <v>0</v>
      </c>
      <c r="AL33" s="52">
        <f>($A33=Esc_6c!E$9)*AC33/(12*_xlfn.XLOOKUP(AL$15,sexo_cnu,cnu))</f>
        <v>0</v>
      </c>
      <c r="AM33" s="30"/>
      <c r="AN33" s="30"/>
      <c r="AO33" s="30"/>
      <c r="AP33" s="30"/>
      <c r="AU33" s="39"/>
      <c r="AV33" s="39"/>
    </row>
    <row r="34" spans="1:48" x14ac:dyDescent="0.25">
      <c r="A34" s="30">
        <v>1999</v>
      </c>
      <c r="B34" s="33">
        <f>w_uf*UF*Parámetros!C21</f>
        <v>548510.38731193403</v>
      </c>
      <c r="C34" s="30">
        <f t="shared" si="2"/>
        <v>20</v>
      </c>
      <c r="D34" s="30">
        <f>((A34=Inputs!$C$12)*(Inputs!$D$12) + (A34=Inputs!$C$13)*(Inputs!$D$13) + (A34=Inputs!$C$14)*(Inputs!$D$14)) *(A34 &gt;= a_afil)*(A34&gt;=2024)</f>
        <v>0</v>
      </c>
      <c r="E34" s="30">
        <v>0</v>
      </c>
      <c r="F34" s="30">
        <f t="shared" si="3"/>
        <v>0</v>
      </c>
      <c r="G34" s="30">
        <f t="shared" si="4"/>
        <v>0</v>
      </c>
      <c r="H34" s="30">
        <v>0.40198260545730591</v>
      </c>
      <c r="I34" s="37">
        <f t="shared" si="5"/>
        <v>0</v>
      </c>
      <c r="J34" s="37">
        <f t="shared" si="6"/>
        <v>0</v>
      </c>
      <c r="K34" s="84"/>
      <c r="L34" s="71"/>
      <c r="M34" s="87"/>
      <c r="N34" s="47"/>
      <c r="O34" s="47"/>
      <c r="P34" s="47"/>
      <c r="Q34" s="54">
        <f t="shared" si="7"/>
        <v>0</v>
      </c>
      <c r="R34" s="54">
        <f t="shared" si="8"/>
        <v>0</v>
      </c>
      <c r="S34" s="54">
        <f t="shared" si="9"/>
        <v>0</v>
      </c>
      <c r="T34" s="54">
        <f t="shared" si="10"/>
        <v>0</v>
      </c>
      <c r="U34" s="47"/>
      <c r="V34" s="47"/>
      <c r="W34" s="47"/>
      <c r="X34" s="47"/>
      <c r="Y34" s="47"/>
      <c r="Z34" s="70">
        <f t="shared" si="11"/>
        <v>0</v>
      </c>
      <c r="AA34" s="70">
        <f t="shared" si="12"/>
        <v>0</v>
      </c>
      <c r="AB34" s="54">
        <f t="shared" si="13"/>
        <v>0</v>
      </c>
      <c r="AC34" s="54">
        <f t="shared" si="14"/>
        <v>0</v>
      </c>
      <c r="AI34" s="52">
        <f>($A34=Esc_6c!D$9)*Z34/(12*_xlfn.XLOOKUP(AI$15,sexo_cnu,cnu))</f>
        <v>0</v>
      </c>
      <c r="AJ34" s="52">
        <f>($A34=Esc_6c!E$9)*AA34/(12*_xlfn.XLOOKUP(AJ$15,sexo_cnu,cnu))</f>
        <v>0</v>
      </c>
      <c r="AK34" s="52">
        <f>($A34=Esc_6c!D$9)*AB34/(12*_xlfn.XLOOKUP(AK$15,sexo_cnu,cnu))</f>
        <v>0</v>
      </c>
      <c r="AL34" s="52">
        <f>($A34=Esc_6c!E$9)*AC34/(12*_xlfn.XLOOKUP(AL$15,sexo_cnu,cnu))</f>
        <v>0</v>
      </c>
      <c r="AM34" s="30"/>
      <c r="AN34" s="30"/>
      <c r="AO34" s="30"/>
      <c r="AP34" s="30"/>
      <c r="AU34" s="39"/>
      <c r="AV34" s="39"/>
    </row>
    <row r="35" spans="1:48" x14ac:dyDescent="0.25">
      <c r="A35" s="30">
        <v>2000</v>
      </c>
      <c r="B35" s="33">
        <f>w_uf*UF*Parámetros!C22</f>
        <v>561868.80401642085</v>
      </c>
      <c r="C35" s="30">
        <f t="shared" si="2"/>
        <v>21</v>
      </c>
      <c r="D35" s="30">
        <f>((A35=Inputs!$C$12)*(Inputs!$D$12) + (A35=Inputs!$C$13)*(Inputs!$D$13) + (A35=Inputs!$C$14)*(Inputs!$D$14)) *(A35 &gt;= a_afil)*(A35&gt;=2024)</f>
        <v>0</v>
      </c>
      <c r="E35" s="30">
        <v>0</v>
      </c>
      <c r="F35" s="30">
        <f t="shared" si="3"/>
        <v>0</v>
      </c>
      <c r="G35" s="30">
        <f t="shared" si="4"/>
        <v>0</v>
      </c>
      <c r="H35" s="30">
        <v>0.27529549598693848</v>
      </c>
      <c r="I35" s="37">
        <f t="shared" si="5"/>
        <v>0</v>
      </c>
      <c r="J35" s="37">
        <f t="shared" si="6"/>
        <v>0</v>
      </c>
      <c r="K35" s="84"/>
      <c r="L35" s="71"/>
      <c r="M35" s="87"/>
      <c r="N35" s="47"/>
      <c r="O35" s="47"/>
      <c r="P35" s="47"/>
      <c r="Q35" s="54">
        <f t="shared" si="7"/>
        <v>0</v>
      </c>
      <c r="R35" s="54">
        <f t="shared" si="8"/>
        <v>0</v>
      </c>
      <c r="S35" s="54">
        <f t="shared" si="9"/>
        <v>0</v>
      </c>
      <c r="T35" s="54">
        <f t="shared" si="10"/>
        <v>0</v>
      </c>
      <c r="U35" s="47"/>
      <c r="V35" s="47"/>
      <c r="W35" s="47"/>
      <c r="X35" s="47"/>
      <c r="Y35" s="47"/>
      <c r="Z35" s="70">
        <f t="shared" si="11"/>
        <v>0</v>
      </c>
      <c r="AA35" s="70">
        <f t="shared" si="12"/>
        <v>0</v>
      </c>
      <c r="AB35" s="54">
        <f t="shared" si="13"/>
        <v>0</v>
      </c>
      <c r="AC35" s="54">
        <f t="shared" si="14"/>
        <v>0</v>
      </c>
      <c r="AI35" s="52">
        <f>($A35=Esc_6c!D$9)*Z35/(12*_xlfn.XLOOKUP(AI$15,sexo_cnu,cnu))</f>
        <v>0</v>
      </c>
      <c r="AJ35" s="52">
        <f>($A35=Esc_6c!E$9)*AA35/(12*_xlfn.XLOOKUP(AJ$15,sexo_cnu,cnu))</f>
        <v>0</v>
      </c>
      <c r="AK35" s="52">
        <f>($A35=Esc_6c!D$9)*AB35/(12*_xlfn.XLOOKUP(AK$15,sexo_cnu,cnu))</f>
        <v>0</v>
      </c>
      <c r="AL35" s="52">
        <f>($A35=Esc_6c!E$9)*AC35/(12*_xlfn.XLOOKUP(AL$15,sexo_cnu,cnu))</f>
        <v>0</v>
      </c>
      <c r="AM35" s="30"/>
      <c r="AN35" s="30"/>
      <c r="AO35" s="30"/>
      <c r="AP35" s="30"/>
      <c r="AU35" s="39"/>
      <c r="AV35" s="39"/>
    </row>
    <row r="36" spans="1:48" x14ac:dyDescent="0.25">
      <c r="A36" s="30">
        <v>2001</v>
      </c>
      <c r="B36" s="33">
        <f>w_uf*UF*Parámetros!C23</f>
        <v>569645.53486785921</v>
      </c>
      <c r="C36" s="30">
        <f t="shared" si="2"/>
        <v>22</v>
      </c>
      <c r="D36" s="30">
        <f>((A36=Inputs!$C$12)*(Inputs!$D$12) + (A36=Inputs!$C$13)*(Inputs!$D$13) + (A36=Inputs!$C$14)*(Inputs!$D$14)) *(A36 &gt;= a_afil)*(A36&gt;=2024)</f>
        <v>0</v>
      </c>
      <c r="E36" s="30">
        <v>0</v>
      </c>
      <c r="F36" s="30">
        <f t="shared" si="3"/>
        <v>0</v>
      </c>
      <c r="G36" s="30">
        <f t="shared" si="4"/>
        <v>0</v>
      </c>
      <c r="H36" s="30">
        <v>0.98537391424179077</v>
      </c>
      <c r="I36" s="37">
        <f t="shared" si="5"/>
        <v>0</v>
      </c>
      <c r="J36" s="37">
        <f t="shared" si="6"/>
        <v>0</v>
      </c>
      <c r="K36" s="84"/>
      <c r="L36" s="71"/>
      <c r="M36" s="87"/>
      <c r="N36" s="47"/>
      <c r="O36" s="47"/>
      <c r="P36" s="47"/>
      <c r="Q36" s="54">
        <f t="shared" si="7"/>
        <v>0</v>
      </c>
      <c r="R36" s="54">
        <f t="shared" si="8"/>
        <v>0</v>
      </c>
      <c r="S36" s="54">
        <f t="shared" si="9"/>
        <v>0</v>
      </c>
      <c r="T36" s="54">
        <f t="shared" si="10"/>
        <v>0</v>
      </c>
      <c r="U36" s="47"/>
      <c r="V36" s="47"/>
      <c r="W36" s="47"/>
      <c r="X36" s="47"/>
      <c r="Y36" s="47"/>
      <c r="Z36" s="70">
        <f t="shared" si="11"/>
        <v>0</v>
      </c>
      <c r="AA36" s="70">
        <f t="shared" si="12"/>
        <v>0</v>
      </c>
      <c r="AB36" s="54">
        <f t="shared" si="13"/>
        <v>0</v>
      </c>
      <c r="AC36" s="54">
        <f t="shared" si="14"/>
        <v>0</v>
      </c>
      <c r="AI36" s="52">
        <f>($A36=Esc_6c!D$9)*Z36/(12*_xlfn.XLOOKUP(AI$15,sexo_cnu,cnu))</f>
        <v>0</v>
      </c>
      <c r="AJ36" s="52">
        <f>($A36=Esc_6c!E$9)*AA36/(12*_xlfn.XLOOKUP(AJ$15,sexo_cnu,cnu))</f>
        <v>0</v>
      </c>
      <c r="AK36" s="52">
        <f>($A36=Esc_6c!D$9)*AB36/(12*_xlfn.XLOOKUP(AK$15,sexo_cnu,cnu))</f>
        <v>0</v>
      </c>
      <c r="AL36" s="52">
        <f>($A36=Esc_6c!E$9)*AC36/(12*_xlfn.XLOOKUP(AL$15,sexo_cnu,cnu))</f>
        <v>0</v>
      </c>
      <c r="AM36" s="30"/>
      <c r="AN36" s="30"/>
      <c r="AO36" s="30"/>
      <c r="AP36" s="30"/>
      <c r="AU36" s="39"/>
      <c r="AV36" s="39"/>
    </row>
    <row r="37" spans="1:48" x14ac:dyDescent="0.25">
      <c r="A37" s="30">
        <v>2002</v>
      </c>
      <c r="B37" s="33">
        <f>w_uf*UF*Parámetros!C24</f>
        <v>578864.72386109654</v>
      </c>
      <c r="C37" s="30">
        <f t="shared" si="2"/>
        <v>23</v>
      </c>
      <c r="D37" s="30">
        <f>((A37=Inputs!$C$12)*(Inputs!$D$12) + (A37=Inputs!$C$13)*(Inputs!$D$13) + (A37=Inputs!$C$14)*(Inputs!$D$14)) *(A37 &gt;= a_afil)*(A37&gt;=2024)</f>
        <v>0</v>
      </c>
      <c r="E37" s="30">
        <v>0</v>
      </c>
      <c r="F37" s="30">
        <f t="shared" si="3"/>
        <v>0</v>
      </c>
      <c r="G37" s="30">
        <f t="shared" si="4"/>
        <v>0</v>
      </c>
      <c r="H37" s="30">
        <v>0.80258738994598389</v>
      </c>
      <c r="I37" s="37">
        <f t="shared" si="5"/>
        <v>0</v>
      </c>
      <c r="J37" s="37">
        <f t="shared" si="6"/>
        <v>0</v>
      </c>
      <c r="K37" s="84"/>
      <c r="L37" s="71"/>
      <c r="M37" s="87"/>
      <c r="N37" s="47"/>
      <c r="O37" s="47"/>
      <c r="P37" s="47"/>
      <c r="Q37" s="54">
        <f t="shared" si="7"/>
        <v>0</v>
      </c>
      <c r="R37" s="54">
        <f t="shared" si="8"/>
        <v>0</v>
      </c>
      <c r="S37" s="54">
        <f t="shared" si="9"/>
        <v>0</v>
      </c>
      <c r="T37" s="54">
        <f t="shared" si="10"/>
        <v>0</v>
      </c>
      <c r="U37" s="47"/>
      <c r="V37" s="47"/>
      <c r="W37" s="47"/>
      <c r="X37" s="47"/>
      <c r="Y37" s="47"/>
      <c r="Z37" s="70">
        <f t="shared" si="11"/>
        <v>0</v>
      </c>
      <c r="AA37" s="70">
        <f t="shared" si="12"/>
        <v>0</v>
      </c>
      <c r="AB37" s="54">
        <f t="shared" si="13"/>
        <v>0</v>
      </c>
      <c r="AC37" s="54">
        <f t="shared" si="14"/>
        <v>0</v>
      </c>
      <c r="AI37" s="52">
        <f>($A37=Esc_6c!D$9)*Z37/(12*_xlfn.XLOOKUP(AI$15,sexo_cnu,cnu))</f>
        <v>0</v>
      </c>
      <c r="AJ37" s="52">
        <f>($A37=Esc_6c!E$9)*AA37/(12*_xlfn.XLOOKUP(AJ$15,sexo_cnu,cnu))</f>
        <v>0</v>
      </c>
      <c r="AK37" s="52">
        <f>($A37=Esc_6c!D$9)*AB37/(12*_xlfn.XLOOKUP(AK$15,sexo_cnu,cnu))</f>
        <v>0</v>
      </c>
      <c r="AL37" s="52">
        <f>($A37=Esc_6c!E$9)*AC37/(12*_xlfn.XLOOKUP(AL$15,sexo_cnu,cnu))</f>
        <v>0</v>
      </c>
      <c r="AM37" s="30"/>
      <c r="AN37" s="30"/>
      <c r="AO37" s="30"/>
      <c r="AP37" s="30"/>
      <c r="AU37" s="39"/>
      <c r="AV37" s="39"/>
    </row>
    <row r="38" spans="1:48" x14ac:dyDescent="0.25">
      <c r="A38" s="30">
        <v>2003</v>
      </c>
      <c r="B38" s="33">
        <f>w_uf*UF*Parámetros!C25</f>
        <v>590592.53570963664</v>
      </c>
      <c r="C38" s="30">
        <f t="shared" si="2"/>
        <v>24</v>
      </c>
      <c r="D38" s="30">
        <f>((A38=Inputs!$C$12)*(Inputs!$D$12) + (A38=Inputs!$C$13)*(Inputs!$D$13) + (A38=Inputs!$C$14)*(Inputs!$D$14)) *(A38 &gt;= a_afil)*(A38&gt;=2024)</f>
        <v>0</v>
      </c>
      <c r="E38" s="30">
        <v>0</v>
      </c>
      <c r="F38" s="30">
        <f t="shared" si="3"/>
        <v>1</v>
      </c>
      <c r="G38" s="30">
        <f t="shared" si="4"/>
        <v>1</v>
      </c>
      <c r="H38" s="30">
        <v>0.69610077142715454</v>
      </c>
      <c r="I38" s="37">
        <f t="shared" si="5"/>
        <v>0.57999999999999996</v>
      </c>
      <c r="J38" s="37">
        <f t="shared" si="6"/>
        <v>0.57999999999999996</v>
      </c>
      <c r="K38" s="84"/>
      <c r="L38" s="71"/>
      <c r="M38" s="87"/>
      <c r="N38" s="47"/>
      <c r="O38" s="47"/>
      <c r="P38" s="47"/>
      <c r="Q38" s="54">
        <f t="shared" si="7"/>
        <v>411052.40485390706</v>
      </c>
      <c r="R38" s="54">
        <f t="shared" si="8"/>
        <v>411052.40485390706</v>
      </c>
      <c r="S38" s="54">
        <f t="shared" si="9"/>
        <v>411052.40485390706</v>
      </c>
      <c r="T38" s="54">
        <f t="shared" si="10"/>
        <v>411052.40485390706</v>
      </c>
      <c r="U38" s="47"/>
      <c r="V38" s="47"/>
      <c r="W38" s="47"/>
      <c r="X38" s="47"/>
      <c r="Y38" s="47"/>
      <c r="Z38" s="70">
        <f t="shared" si="11"/>
        <v>411052.40485390706</v>
      </c>
      <c r="AA38" s="70">
        <f t="shared" si="12"/>
        <v>411052.40485390706</v>
      </c>
      <c r="AB38" s="54">
        <f t="shared" si="13"/>
        <v>411052.40485390706</v>
      </c>
      <c r="AC38" s="54">
        <f t="shared" si="14"/>
        <v>411052.40485390706</v>
      </c>
      <c r="AI38" s="52">
        <f>($A38=Esc_6c!D$9)*Z38/(12*_xlfn.XLOOKUP(AI$15,sexo_cnu,cnu))</f>
        <v>0</v>
      </c>
      <c r="AJ38" s="52">
        <f>($A38=Esc_6c!E$9)*AA38/(12*_xlfn.XLOOKUP(AJ$15,sexo_cnu,cnu))</f>
        <v>0</v>
      </c>
      <c r="AK38" s="52">
        <f>($A38=Esc_6c!D$9)*AB38/(12*_xlfn.XLOOKUP(AK$15,sexo_cnu,cnu))</f>
        <v>0</v>
      </c>
      <c r="AL38" s="52">
        <f>($A38=Esc_6c!E$9)*AC38/(12*_xlfn.XLOOKUP(AL$15,sexo_cnu,cnu))</f>
        <v>0</v>
      </c>
      <c r="AM38" s="30"/>
      <c r="AN38" s="30"/>
      <c r="AO38" s="30"/>
      <c r="AP38" s="30"/>
      <c r="AU38" s="39"/>
      <c r="AV38" s="39"/>
    </row>
    <row r="39" spans="1:48" x14ac:dyDescent="0.25">
      <c r="A39" s="30">
        <v>2004</v>
      </c>
      <c r="B39" s="33">
        <f>w_uf*UF*Parámetros!C26</f>
        <v>596048.79041992011</v>
      </c>
      <c r="C39" s="30">
        <f t="shared" si="2"/>
        <v>25</v>
      </c>
      <c r="D39" s="30">
        <f>((A39=Inputs!$C$12)*(Inputs!$D$12) + (A39=Inputs!$C$13)*(Inputs!$D$13) + (A39=Inputs!$C$14)*(Inputs!$D$14)) *(A39 &gt;= a_afil)*(A39&gt;=2024)</f>
        <v>0</v>
      </c>
      <c r="E39" s="30">
        <v>0</v>
      </c>
      <c r="F39" s="30">
        <f t="shared" si="3"/>
        <v>1</v>
      </c>
      <c r="G39" s="30">
        <f t="shared" si="4"/>
        <v>1</v>
      </c>
      <c r="H39" s="30">
        <v>0.41759920120239258</v>
      </c>
      <c r="I39" s="37">
        <f t="shared" si="5"/>
        <v>0.57999999999999996</v>
      </c>
      <c r="J39" s="37">
        <f t="shared" si="6"/>
        <v>0.57999999999999996</v>
      </c>
      <c r="K39" s="84"/>
      <c r="L39" s="71"/>
      <c r="M39" s="87"/>
      <c r="N39" s="47"/>
      <c r="O39" s="47"/>
      <c r="P39" s="47"/>
      <c r="Q39" s="54">
        <f t="shared" si="7"/>
        <v>414849.95813226444</v>
      </c>
      <c r="R39" s="54">
        <f t="shared" si="8"/>
        <v>414849.95813226444</v>
      </c>
      <c r="S39" s="54">
        <f t="shared" si="9"/>
        <v>414849.95813226444</v>
      </c>
      <c r="T39" s="54">
        <f t="shared" si="10"/>
        <v>414849.95813226444</v>
      </c>
      <c r="U39" s="47"/>
      <c r="V39" s="47"/>
      <c r="W39" s="47"/>
      <c r="X39" s="47"/>
      <c r="Y39" s="47"/>
      <c r="Z39" s="70">
        <f t="shared" si="11"/>
        <v>869268.3916982587</v>
      </c>
      <c r="AA39" s="70">
        <f t="shared" si="12"/>
        <v>869268.3916982587</v>
      </c>
      <c r="AB39" s="54">
        <f t="shared" si="13"/>
        <v>869268.3916982587</v>
      </c>
      <c r="AC39" s="54">
        <f t="shared" si="14"/>
        <v>869268.3916982587</v>
      </c>
      <c r="AI39" s="52">
        <f>($A39=Esc_6c!D$9)*Z39/(12*_xlfn.XLOOKUP(AI$15,sexo_cnu,cnu))</f>
        <v>0</v>
      </c>
      <c r="AJ39" s="52">
        <f>($A39=Esc_6c!E$9)*AA39/(12*_xlfn.XLOOKUP(AJ$15,sexo_cnu,cnu))</f>
        <v>0</v>
      </c>
      <c r="AK39" s="52">
        <f>($A39=Esc_6c!D$9)*AB39/(12*_xlfn.XLOOKUP(AK$15,sexo_cnu,cnu))</f>
        <v>0</v>
      </c>
      <c r="AL39" s="52">
        <f>($A39=Esc_6c!E$9)*AC39/(12*_xlfn.XLOOKUP(AL$15,sexo_cnu,cnu))</f>
        <v>0</v>
      </c>
      <c r="AM39" s="30"/>
      <c r="AN39" s="30"/>
      <c r="AO39" s="30"/>
      <c r="AP39" s="30"/>
      <c r="AU39" s="39"/>
      <c r="AV39" s="39"/>
    </row>
    <row r="40" spans="1:48" x14ac:dyDescent="0.25">
      <c r="A40" s="30">
        <v>2005</v>
      </c>
      <c r="B40" s="33">
        <f>w_uf*UF*Parámetros!C27</f>
        <v>606898.58426910418</v>
      </c>
      <c r="C40" s="30">
        <f t="shared" si="2"/>
        <v>26</v>
      </c>
      <c r="D40" s="30">
        <f>((A40=Inputs!$C$12)*(Inputs!$D$12) + (A40=Inputs!$C$13)*(Inputs!$D$13) + (A40=Inputs!$C$14)*(Inputs!$D$14)) *(A40 &gt;= a_afil)*(A40&gt;=2024)</f>
        <v>0</v>
      </c>
      <c r="E40" s="30">
        <v>0</v>
      </c>
      <c r="F40" s="30">
        <f t="shared" si="3"/>
        <v>1</v>
      </c>
      <c r="G40" s="30">
        <f t="shared" si="4"/>
        <v>1</v>
      </c>
      <c r="H40" s="30">
        <v>0.73448818922042847</v>
      </c>
      <c r="I40" s="37">
        <f t="shared" si="5"/>
        <v>0.57999999999999996</v>
      </c>
      <c r="J40" s="37">
        <f t="shared" si="6"/>
        <v>0.57999999999999996</v>
      </c>
      <c r="K40" s="84"/>
      <c r="L40" s="71"/>
      <c r="M40" s="87"/>
      <c r="N40" s="47"/>
      <c r="O40" s="47"/>
      <c r="P40" s="47"/>
      <c r="Q40" s="54">
        <f t="shared" si="7"/>
        <v>422401.41465129651</v>
      </c>
      <c r="R40" s="54">
        <f t="shared" si="8"/>
        <v>422401.41465129651</v>
      </c>
      <c r="S40" s="54">
        <f t="shared" si="9"/>
        <v>422401.41465129651</v>
      </c>
      <c r="T40" s="54">
        <f t="shared" si="10"/>
        <v>422401.41465129651</v>
      </c>
      <c r="U40" s="47"/>
      <c r="V40" s="47"/>
      <c r="W40" s="47"/>
      <c r="X40" s="47"/>
      <c r="Y40" s="47"/>
      <c r="Z40" s="70">
        <f t="shared" si="11"/>
        <v>1368686.985854021</v>
      </c>
      <c r="AA40" s="70">
        <f t="shared" si="12"/>
        <v>1368686.985854021</v>
      </c>
      <c r="AB40" s="54">
        <f t="shared" si="13"/>
        <v>1368686.985854021</v>
      </c>
      <c r="AC40" s="54">
        <f t="shared" si="14"/>
        <v>1368686.985854021</v>
      </c>
      <c r="AI40" s="52">
        <f>($A40=Esc_6c!D$9)*Z40/(12*_xlfn.XLOOKUP(AI$15,sexo_cnu,cnu))</f>
        <v>0</v>
      </c>
      <c r="AJ40" s="52">
        <f>($A40=Esc_6c!E$9)*AA40/(12*_xlfn.XLOOKUP(AJ$15,sexo_cnu,cnu))</f>
        <v>0</v>
      </c>
      <c r="AK40" s="52">
        <f>($A40=Esc_6c!D$9)*AB40/(12*_xlfn.XLOOKUP(AK$15,sexo_cnu,cnu))</f>
        <v>0</v>
      </c>
      <c r="AL40" s="52">
        <f>($A40=Esc_6c!E$9)*AC40/(12*_xlfn.XLOOKUP(AL$15,sexo_cnu,cnu))</f>
        <v>0</v>
      </c>
      <c r="AM40" s="30"/>
      <c r="AN40" s="30"/>
      <c r="AO40" s="30"/>
      <c r="AP40" s="30"/>
      <c r="AU40" s="39"/>
      <c r="AV40" s="39"/>
    </row>
    <row r="41" spans="1:48" x14ac:dyDescent="0.25">
      <c r="A41" s="30">
        <v>2006</v>
      </c>
      <c r="B41" s="33">
        <f>w_uf*UF*Parámetros!C28</f>
        <v>618187.38711796631</v>
      </c>
      <c r="C41" s="30">
        <f t="shared" si="2"/>
        <v>27</v>
      </c>
      <c r="D41" s="30">
        <f>((A41=Inputs!$C$12)*(Inputs!$D$12) + (A41=Inputs!$C$13)*(Inputs!$D$13) + (A41=Inputs!$C$14)*(Inputs!$D$14)) *(A41 &gt;= a_afil)*(A41&gt;=2024)</f>
        <v>0</v>
      </c>
      <c r="E41" s="30">
        <v>0</v>
      </c>
      <c r="F41" s="30">
        <f t="shared" si="3"/>
        <v>1</v>
      </c>
      <c r="G41" s="30">
        <f t="shared" si="4"/>
        <v>1</v>
      </c>
      <c r="H41" s="30">
        <v>0.2771683931350708</v>
      </c>
      <c r="I41" s="37">
        <f t="shared" si="5"/>
        <v>0.57999999999999996</v>
      </c>
      <c r="J41" s="37">
        <f t="shared" si="6"/>
        <v>0.57999999999999996</v>
      </c>
      <c r="K41" s="84"/>
      <c r="L41" s="71"/>
      <c r="M41" s="87"/>
      <c r="N41" s="47"/>
      <c r="O41" s="47"/>
      <c r="P41" s="47"/>
      <c r="Q41" s="54">
        <f t="shared" si="7"/>
        <v>430258.42143410456</v>
      </c>
      <c r="R41" s="54">
        <f t="shared" si="8"/>
        <v>430258.42143410456</v>
      </c>
      <c r="S41" s="54">
        <f t="shared" si="9"/>
        <v>430258.42143410456</v>
      </c>
      <c r="T41" s="54">
        <f t="shared" si="10"/>
        <v>430258.42143410456</v>
      </c>
      <c r="U41" s="47"/>
      <c r="V41" s="47"/>
      <c r="W41" s="47"/>
      <c r="X41" s="47"/>
      <c r="Y41" s="47"/>
      <c r="Z41" s="70">
        <f t="shared" si="11"/>
        <v>1861631.27124024</v>
      </c>
      <c r="AA41" s="70">
        <f t="shared" si="12"/>
        <v>1861631.27124024</v>
      </c>
      <c r="AB41" s="54">
        <f t="shared" si="13"/>
        <v>1861631.27124024</v>
      </c>
      <c r="AC41" s="54">
        <f t="shared" si="14"/>
        <v>1861631.27124024</v>
      </c>
      <c r="AI41" s="52">
        <f>($A41=Esc_6c!D$9)*Z41/(12*_xlfn.XLOOKUP(AI$15,sexo_cnu,cnu))</f>
        <v>0</v>
      </c>
      <c r="AJ41" s="52">
        <f>($A41=Esc_6c!E$9)*AA41/(12*_xlfn.XLOOKUP(AJ$15,sexo_cnu,cnu))</f>
        <v>0</v>
      </c>
      <c r="AK41" s="52">
        <f>($A41=Esc_6c!D$9)*AB41/(12*_xlfn.XLOOKUP(AK$15,sexo_cnu,cnu))</f>
        <v>0</v>
      </c>
      <c r="AL41" s="52">
        <f>($A41=Esc_6c!E$9)*AC41/(12*_xlfn.XLOOKUP(AL$15,sexo_cnu,cnu))</f>
        <v>0</v>
      </c>
      <c r="AM41" s="30"/>
      <c r="AN41" s="30"/>
      <c r="AO41" s="30"/>
      <c r="AP41" s="30"/>
      <c r="AU41" s="39"/>
      <c r="AV41" s="39"/>
    </row>
    <row r="42" spans="1:48" x14ac:dyDescent="0.25">
      <c r="A42" s="30">
        <v>2007</v>
      </c>
      <c r="B42" s="33">
        <f>w_uf*UF*Parámetros!C29</f>
        <v>630291.49239480181</v>
      </c>
      <c r="C42" s="30">
        <f t="shared" si="2"/>
        <v>28</v>
      </c>
      <c r="D42" s="30">
        <f>((A42=Inputs!$C$12)*(Inputs!$D$12) + (A42=Inputs!$C$13)*(Inputs!$D$13) + (A42=Inputs!$C$14)*(Inputs!$D$14)) *(A42 &gt;= a_afil)*(A42&gt;=2024)</f>
        <v>0</v>
      </c>
      <c r="E42" s="30">
        <v>0</v>
      </c>
      <c r="F42" s="30">
        <f t="shared" si="3"/>
        <v>1</v>
      </c>
      <c r="G42" s="30">
        <f t="shared" si="4"/>
        <v>1</v>
      </c>
      <c r="H42" s="30">
        <v>0.3565862774848938</v>
      </c>
      <c r="I42" s="37">
        <f t="shared" si="5"/>
        <v>0.57999999999999996</v>
      </c>
      <c r="J42" s="37">
        <f t="shared" si="6"/>
        <v>0.57999999999999996</v>
      </c>
      <c r="K42" s="84"/>
      <c r="L42" s="71"/>
      <c r="M42" s="87"/>
      <c r="N42" s="47"/>
      <c r="O42" s="47"/>
      <c r="P42" s="47"/>
      <c r="Q42" s="54">
        <f t="shared" si="7"/>
        <v>438682.87870678207</v>
      </c>
      <c r="R42" s="54">
        <f t="shared" si="8"/>
        <v>438682.87870678207</v>
      </c>
      <c r="S42" s="54">
        <f t="shared" si="9"/>
        <v>438682.87870678207</v>
      </c>
      <c r="T42" s="54">
        <f t="shared" si="10"/>
        <v>438682.87870678207</v>
      </c>
      <c r="U42" s="47"/>
      <c r="V42" s="47"/>
      <c r="W42" s="47"/>
      <c r="X42" s="47"/>
      <c r="Y42" s="47"/>
      <c r="Z42" s="54">
        <f t="shared" si="11"/>
        <v>2593893.4014216079</v>
      </c>
      <c r="AA42" s="54">
        <f t="shared" si="12"/>
        <v>2593893.4014216079</v>
      </c>
      <c r="AB42" s="54">
        <f t="shared" si="13"/>
        <v>2593893.4014216079</v>
      </c>
      <c r="AC42" s="54">
        <f t="shared" si="14"/>
        <v>2593893.4014216079</v>
      </c>
      <c r="AI42" s="52">
        <f>($A42=Esc_6c!D$9)*Z42/(12*_xlfn.XLOOKUP(AI$15,sexo_cnu,cnu))</f>
        <v>0</v>
      </c>
      <c r="AJ42" s="52">
        <f>($A42=Esc_6c!E$9)*AA42/(12*_xlfn.XLOOKUP(AJ$15,sexo_cnu,cnu))</f>
        <v>0</v>
      </c>
      <c r="AK42" s="52">
        <f>($A42=Esc_6c!D$9)*AB42/(12*_xlfn.XLOOKUP(AK$15,sexo_cnu,cnu))</f>
        <v>0</v>
      </c>
      <c r="AL42" s="52">
        <f>($A42=Esc_6c!E$9)*AC42/(12*_xlfn.XLOOKUP(AL$15,sexo_cnu,cnu))</f>
        <v>0</v>
      </c>
      <c r="AM42" s="30"/>
      <c r="AN42" s="30"/>
      <c r="AO42" s="30"/>
      <c r="AP42" s="30"/>
      <c r="AU42" s="39"/>
      <c r="AV42" s="39"/>
    </row>
    <row r="43" spans="1:48" x14ac:dyDescent="0.25">
      <c r="A43" s="30">
        <v>2008</v>
      </c>
      <c r="B43" s="33">
        <f>w_uf*UF*Parámetros!C30</f>
        <v>648039.99909606832</v>
      </c>
      <c r="C43" s="30">
        <f t="shared" si="2"/>
        <v>29</v>
      </c>
      <c r="D43" s="30">
        <f>((A43=Inputs!$C$12)*(Inputs!$D$12) + (A43=Inputs!$C$13)*(Inputs!$D$13) + (A43=Inputs!$C$14)*(Inputs!$D$14)) *(A43 &gt;= a_afil)*(A43&gt;=2024)</f>
        <v>0</v>
      </c>
      <c r="E43" s="30">
        <v>0</v>
      </c>
      <c r="F43" s="30">
        <f t="shared" si="3"/>
        <v>1</v>
      </c>
      <c r="G43" s="30">
        <f t="shared" si="4"/>
        <v>1</v>
      </c>
      <c r="H43" s="30">
        <v>0.4334571361541748</v>
      </c>
      <c r="I43" s="37">
        <f t="shared" si="5"/>
        <v>0.57999999999999996</v>
      </c>
      <c r="J43" s="37">
        <f t="shared" si="6"/>
        <v>0.57999999999999996</v>
      </c>
      <c r="K43" s="84"/>
      <c r="L43" s="71"/>
      <c r="M43" s="87"/>
      <c r="N43" s="47"/>
      <c r="O43" s="47"/>
      <c r="P43" s="47"/>
      <c r="Q43" s="54">
        <f t="shared" si="7"/>
        <v>451035.83937086351</v>
      </c>
      <c r="R43" s="54">
        <f t="shared" si="8"/>
        <v>451035.83937086351</v>
      </c>
      <c r="S43" s="54">
        <f t="shared" si="9"/>
        <v>451035.83937086351</v>
      </c>
      <c r="T43" s="54">
        <f t="shared" si="10"/>
        <v>451035.83937086351</v>
      </c>
      <c r="U43" s="47"/>
      <c r="V43" s="47"/>
      <c r="W43" s="47"/>
      <c r="X43" s="47"/>
      <c r="Y43" s="47"/>
      <c r="Z43" s="54">
        <f t="shared" si="11"/>
        <v>3174364.52152341</v>
      </c>
      <c r="AA43" s="54">
        <f t="shared" si="12"/>
        <v>3174364.52152341</v>
      </c>
      <c r="AB43" s="54">
        <f t="shared" si="13"/>
        <v>3174364.52152341</v>
      </c>
      <c r="AC43" s="54">
        <f t="shared" si="14"/>
        <v>3174364.52152341</v>
      </c>
      <c r="AI43" s="52">
        <f>($A43=Esc_6c!D$9)*Z43/(12*_xlfn.XLOOKUP(AI$15,sexo_cnu,cnu))</f>
        <v>0</v>
      </c>
      <c r="AJ43" s="52">
        <f>($A43=Esc_6c!E$9)*AA43/(12*_xlfn.XLOOKUP(AJ$15,sexo_cnu,cnu))</f>
        <v>0</v>
      </c>
      <c r="AK43" s="52">
        <f>($A43=Esc_6c!D$9)*AB43/(12*_xlfn.XLOOKUP(AK$15,sexo_cnu,cnu))</f>
        <v>0</v>
      </c>
      <c r="AL43" s="52">
        <f>($A43=Esc_6c!E$9)*AC43/(12*_xlfn.XLOOKUP(AL$15,sexo_cnu,cnu))</f>
        <v>0</v>
      </c>
      <c r="AM43" s="30"/>
      <c r="AN43" s="30"/>
      <c r="AO43" s="30"/>
      <c r="AP43" s="30"/>
      <c r="AU43" s="39"/>
      <c r="AV43" s="39"/>
    </row>
    <row r="44" spans="1:48" x14ac:dyDescent="0.25">
      <c r="A44" s="30">
        <v>2009</v>
      </c>
      <c r="B44" s="33">
        <f>w_uf*UF*Parámetros!C31</f>
        <v>646722.97209703445</v>
      </c>
      <c r="C44" s="30">
        <f t="shared" si="2"/>
        <v>30</v>
      </c>
      <c r="D44" s="30">
        <f>((A44=Inputs!$C$12)*(Inputs!$D$12) + (A44=Inputs!$C$13)*(Inputs!$D$13) + (A44=Inputs!$C$14)*(Inputs!$D$14)) *(A44 &gt;= a_afil)*(A44&gt;=2024)</f>
        <v>0</v>
      </c>
      <c r="E44" s="30">
        <v>0</v>
      </c>
      <c r="F44" s="30">
        <f t="shared" si="3"/>
        <v>1</v>
      </c>
      <c r="G44" s="30">
        <f t="shared" si="4"/>
        <v>1</v>
      </c>
      <c r="H44" s="30">
        <v>0.94497102499008179</v>
      </c>
      <c r="I44" s="37">
        <f t="shared" si="5"/>
        <v>0.57999999999999996</v>
      </c>
      <c r="J44" s="37">
        <f t="shared" si="6"/>
        <v>0.57999999999999996</v>
      </c>
      <c r="K44" s="84"/>
      <c r="L44" s="71"/>
      <c r="M44" s="87"/>
      <c r="N44" s="47"/>
      <c r="O44" s="47"/>
      <c r="P44" s="47"/>
      <c r="Q44" s="54">
        <f t="shared" si="7"/>
        <v>450119.18857953598</v>
      </c>
      <c r="R44" s="54">
        <f t="shared" si="8"/>
        <v>450119.18857953598</v>
      </c>
      <c r="S44" s="54">
        <f t="shared" si="9"/>
        <v>450119.18857953598</v>
      </c>
      <c r="T44" s="54">
        <f t="shared" si="10"/>
        <v>450119.18857953598</v>
      </c>
      <c r="U44" s="47"/>
      <c r="V44" s="47"/>
      <c r="W44" s="47"/>
      <c r="X44" s="47"/>
      <c r="Y44" s="47"/>
      <c r="Z44" s="54">
        <f t="shared" si="11"/>
        <v>3023259.0697264122</v>
      </c>
      <c r="AA44" s="54">
        <f t="shared" si="12"/>
        <v>3023259.0697264122</v>
      </c>
      <c r="AB44" s="54">
        <f t="shared" si="13"/>
        <v>3023259.0697264122</v>
      </c>
      <c r="AC44" s="54">
        <f t="shared" si="14"/>
        <v>3023259.0697264122</v>
      </c>
      <c r="AI44" s="52">
        <f>($A44=Esc_6c!D$9)*Z44/(12*_xlfn.XLOOKUP(AI$15,sexo_cnu,cnu))</f>
        <v>0</v>
      </c>
      <c r="AJ44" s="52">
        <f>($A44=Esc_6c!E$9)*AA44/(12*_xlfn.XLOOKUP(AJ$15,sexo_cnu,cnu))</f>
        <v>0</v>
      </c>
      <c r="AK44" s="52">
        <f>($A44=Esc_6c!D$9)*AB44/(12*_xlfn.XLOOKUP(AK$15,sexo_cnu,cnu))</f>
        <v>0</v>
      </c>
      <c r="AL44" s="52">
        <f>($A44=Esc_6c!E$9)*AC44/(12*_xlfn.XLOOKUP(AL$15,sexo_cnu,cnu))</f>
        <v>0</v>
      </c>
      <c r="AM44" s="30"/>
      <c r="AN44" s="30"/>
      <c r="AO44" s="30"/>
      <c r="AP44" s="30"/>
      <c r="AU44" s="39"/>
      <c r="AV44" s="39"/>
    </row>
    <row r="45" spans="1:48" x14ac:dyDescent="0.25">
      <c r="A45" s="30">
        <v>2010</v>
      </c>
      <c r="B45" s="33">
        <f>w_uf*UF*Parámetros!C32</f>
        <v>677677.83256711613</v>
      </c>
      <c r="C45" s="30">
        <f t="shared" si="2"/>
        <v>31</v>
      </c>
      <c r="D45" s="30">
        <f>((A45=Inputs!$C$12)*(Inputs!$D$12) + (A45=Inputs!$C$13)*(Inputs!$D$13) + (A45=Inputs!$C$14)*(Inputs!$D$14)) *(A45 &gt;= a_afil)*(A45&gt;=2024)</f>
        <v>0</v>
      </c>
      <c r="E45" s="30">
        <v>0</v>
      </c>
      <c r="F45" s="30">
        <f t="shared" si="3"/>
        <v>1</v>
      </c>
      <c r="G45" s="30">
        <f t="shared" si="4"/>
        <v>1</v>
      </c>
      <c r="H45" s="30">
        <v>0.12154996395111084</v>
      </c>
      <c r="I45" s="37">
        <f t="shared" si="5"/>
        <v>0.57999999999999996</v>
      </c>
      <c r="J45" s="37">
        <f t="shared" si="6"/>
        <v>0.57999999999999996</v>
      </c>
      <c r="K45" s="84"/>
      <c r="L45" s="71"/>
      <c r="M45" s="87"/>
      <c r="N45" s="47"/>
      <c r="O45" s="47"/>
      <c r="P45" s="47"/>
      <c r="Q45" s="54">
        <f t="shared" si="7"/>
        <v>471663.77146671276</v>
      </c>
      <c r="R45" s="54">
        <f t="shared" si="8"/>
        <v>471663.77146671276</v>
      </c>
      <c r="S45" s="54">
        <f t="shared" si="9"/>
        <v>471663.77146671276</v>
      </c>
      <c r="T45" s="54">
        <f t="shared" si="10"/>
        <v>471663.77146671276</v>
      </c>
      <c r="U45" s="47"/>
      <c r="V45" s="47"/>
      <c r="W45" s="47"/>
      <c r="X45" s="47"/>
      <c r="Y45" s="47"/>
      <c r="Z45" s="54">
        <f t="shared" si="11"/>
        <v>4176063.1096024858</v>
      </c>
      <c r="AA45" s="54">
        <f t="shared" si="12"/>
        <v>4176063.1096024858</v>
      </c>
      <c r="AB45" s="54">
        <f t="shared" si="13"/>
        <v>4176063.1096024858</v>
      </c>
      <c r="AC45" s="54">
        <f t="shared" si="14"/>
        <v>4176063.1096024858</v>
      </c>
      <c r="AI45" s="52">
        <f>($A45=Esc_6c!D$9)*Z45/(12*_xlfn.XLOOKUP(AI$15,sexo_cnu,cnu))</f>
        <v>0</v>
      </c>
      <c r="AJ45" s="52">
        <f>($A45=Esc_6c!E$9)*AA45/(12*_xlfn.XLOOKUP(AJ$15,sexo_cnu,cnu))</f>
        <v>0</v>
      </c>
      <c r="AK45" s="52">
        <f>($A45=Esc_6c!D$9)*AB45/(12*_xlfn.XLOOKUP(AK$15,sexo_cnu,cnu))</f>
        <v>0</v>
      </c>
      <c r="AL45" s="52">
        <f>($A45=Esc_6c!E$9)*AC45/(12*_xlfn.XLOOKUP(AL$15,sexo_cnu,cnu))</f>
        <v>0</v>
      </c>
      <c r="AM45" s="30"/>
      <c r="AN45" s="30"/>
      <c r="AO45" s="30"/>
      <c r="AP45" s="30"/>
      <c r="AU45" s="39"/>
      <c r="AV45" s="39"/>
    </row>
    <row r="46" spans="1:48" x14ac:dyDescent="0.25">
      <c r="A46" s="30">
        <v>2011</v>
      </c>
      <c r="B46" s="33">
        <f>w_uf*UF*Parámetros!C33</f>
        <v>695953.37307313946</v>
      </c>
      <c r="C46" s="30">
        <f t="shared" si="2"/>
        <v>32</v>
      </c>
      <c r="D46" s="30">
        <f>((A46=Inputs!$C$12)*(Inputs!$D$12) + (A46=Inputs!$C$13)*(Inputs!$D$13) + (A46=Inputs!$C$14)*(Inputs!$D$14)) *(A46 &gt;= a_afil)*(A46&gt;=2024)</f>
        <v>0</v>
      </c>
      <c r="E46" s="30">
        <v>0</v>
      </c>
      <c r="F46" s="30">
        <f t="shared" si="3"/>
        <v>1</v>
      </c>
      <c r="G46" s="30">
        <f t="shared" si="4"/>
        <v>1</v>
      </c>
      <c r="H46" s="30">
        <v>0.64595133066177368</v>
      </c>
      <c r="I46" s="37">
        <f t="shared" si="5"/>
        <v>0.57999999999999996</v>
      </c>
      <c r="J46" s="37">
        <f t="shared" si="6"/>
        <v>0.57999999999999996</v>
      </c>
      <c r="K46" s="84"/>
      <c r="L46" s="71"/>
      <c r="M46" s="87"/>
      <c r="N46" s="47"/>
      <c r="O46" s="47"/>
      <c r="P46" s="47"/>
      <c r="Q46" s="54">
        <f t="shared" si="7"/>
        <v>484383.54765890504</v>
      </c>
      <c r="R46" s="54">
        <f t="shared" si="8"/>
        <v>484383.54765890504</v>
      </c>
      <c r="S46" s="54">
        <f t="shared" si="9"/>
        <v>484383.54765890504</v>
      </c>
      <c r="T46" s="54">
        <f t="shared" si="10"/>
        <v>484383.54765890504</v>
      </c>
      <c r="U46" s="47"/>
      <c r="V46" s="47"/>
      <c r="W46" s="47"/>
      <c r="X46" s="47"/>
      <c r="Y46" s="47"/>
      <c r="Z46" s="54">
        <f t="shared" si="11"/>
        <v>5050490.9516982632</v>
      </c>
      <c r="AA46" s="54">
        <f t="shared" si="12"/>
        <v>5050490.9516982632</v>
      </c>
      <c r="AB46" s="54">
        <f t="shared" si="13"/>
        <v>5050490.9516982632</v>
      </c>
      <c r="AC46" s="54">
        <f t="shared" si="14"/>
        <v>5050490.9516982632</v>
      </c>
      <c r="AI46" s="52">
        <f>($A46=Esc_6c!D$9)*Z46/(12*_xlfn.XLOOKUP(AI$15,sexo_cnu,cnu))</f>
        <v>0</v>
      </c>
      <c r="AJ46" s="52">
        <f>($A46=Esc_6c!E$9)*AA46/(12*_xlfn.XLOOKUP(AJ$15,sexo_cnu,cnu))</f>
        <v>0</v>
      </c>
      <c r="AK46" s="52">
        <f>($A46=Esc_6c!D$9)*AB46/(12*_xlfn.XLOOKUP(AK$15,sexo_cnu,cnu))</f>
        <v>0</v>
      </c>
      <c r="AL46" s="52">
        <f>($A46=Esc_6c!E$9)*AC46/(12*_xlfn.XLOOKUP(AL$15,sexo_cnu,cnu))</f>
        <v>0</v>
      </c>
      <c r="AM46" s="30"/>
      <c r="AN46" s="30"/>
      <c r="AO46" s="30"/>
      <c r="AP46" s="30"/>
      <c r="AU46" s="39"/>
      <c r="AV46" s="39"/>
    </row>
    <row r="47" spans="1:48" x14ac:dyDescent="0.25">
      <c r="A47" s="30">
        <v>2012</v>
      </c>
      <c r="B47" s="33">
        <f>w_uf*UF*Parámetros!C34</f>
        <v>713348.65352546691</v>
      </c>
      <c r="C47" s="30">
        <f t="shared" si="2"/>
        <v>33</v>
      </c>
      <c r="D47" s="30">
        <f>((A47=Inputs!$C$12)*(Inputs!$D$12) + (A47=Inputs!$C$13)*(Inputs!$D$13) + (A47=Inputs!$C$14)*(Inputs!$D$14)) *(A47 &gt;= a_afil)*(A47&gt;=2024)</f>
        <v>0</v>
      </c>
      <c r="E47" s="30">
        <v>0</v>
      </c>
      <c r="F47" s="30">
        <f t="shared" si="3"/>
        <v>1</v>
      </c>
      <c r="G47" s="30">
        <f t="shared" si="4"/>
        <v>1</v>
      </c>
      <c r="H47" s="30">
        <v>0.34783267974853516</v>
      </c>
      <c r="I47" s="37">
        <f t="shared" si="5"/>
        <v>0.57999999999999996</v>
      </c>
      <c r="J47" s="37">
        <f t="shared" si="6"/>
        <v>0.57999999999999996</v>
      </c>
      <c r="K47" s="84"/>
      <c r="L47" s="71"/>
      <c r="M47" s="87"/>
      <c r="N47" s="47"/>
      <c r="O47" s="47"/>
      <c r="P47" s="47"/>
      <c r="Q47" s="54">
        <f t="shared" si="7"/>
        <v>496490.66285372491</v>
      </c>
      <c r="R47" s="54">
        <f t="shared" si="8"/>
        <v>496490.66285372491</v>
      </c>
      <c r="S47" s="54">
        <f t="shared" si="9"/>
        <v>496490.66285372491</v>
      </c>
      <c r="T47" s="54">
        <f t="shared" si="10"/>
        <v>496490.66285372491</v>
      </c>
      <c r="U47" s="47"/>
      <c r="V47" s="47"/>
      <c r="W47" s="47"/>
      <c r="X47" s="47"/>
      <c r="Y47" s="47"/>
      <c r="Z47" s="54">
        <f t="shared" si="11"/>
        <v>5355568.0074826237</v>
      </c>
      <c r="AA47" s="54">
        <f t="shared" si="12"/>
        <v>5355568.0074826237</v>
      </c>
      <c r="AB47" s="54">
        <f t="shared" si="13"/>
        <v>5355568.0074826237</v>
      </c>
      <c r="AC47" s="54">
        <f t="shared" si="14"/>
        <v>5355568.0074826237</v>
      </c>
      <c r="AI47" s="52">
        <f>($A47=Esc_6c!D$9)*Z47/(12*_xlfn.XLOOKUP(AI$15,sexo_cnu,cnu))</f>
        <v>0</v>
      </c>
      <c r="AJ47" s="52">
        <f>($A47=Esc_6c!E$9)*AA47/(12*_xlfn.XLOOKUP(AJ$15,sexo_cnu,cnu))</f>
        <v>0</v>
      </c>
      <c r="AK47" s="52">
        <f>($A47=Esc_6c!D$9)*AB47/(12*_xlfn.XLOOKUP(AK$15,sexo_cnu,cnu))</f>
        <v>0</v>
      </c>
      <c r="AL47" s="52">
        <f>($A47=Esc_6c!E$9)*AC47/(12*_xlfn.XLOOKUP(AL$15,sexo_cnu,cnu))</f>
        <v>0</v>
      </c>
      <c r="AM47" s="30"/>
      <c r="AN47" s="30"/>
      <c r="AO47" s="30"/>
      <c r="AP47" s="30"/>
      <c r="AU47" s="39"/>
      <c r="AV47" s="39"/>
    </row>
    <row r="48" spans="1:48" x14ac:dyDescent="0.25">
      <c r="A48" s="30">
        <v>2013</v>
      </c>
      <c r="B48" s="33">
        <f>w_uf*UF*Parámetros!C35</f>
        <v>736534.87895418215</v>
      </c>
      <c r="C48" s="30">
        <f t="shared" ref="C48:C79" si="15">IF(AND(A48-a_nac&lt;=110,A48-a_nac&gt;0),A48-a_nac,"")</f>
        <v>34</v>
      </c>
      <c r="D48" s="30">
        <f>((A48=Inputs!$C$12)*(Inputs!$D$12) + (A48=Inputs!$C$13)*(Inputs!$D$13) + (A48=Inputs!$C$14)*(Inputs!$D$14)) *(A48 &gt;= a_afil)*(A48&gt;=2024)</f>
        <v>0</v>
      </c>
      <c r="E48" s="30">
        <v>0</v>
      </c>
      <c r="F48" s="30">
        <f t="shared" ref="F48:F79" si="16" xml:space="preserve"> (C48&lt;edad_ret_h) * (A48&gt;=a_afil)</f>
        <v>1</v>
      </c>
      <c r="G48" s="30">
        <f t="shared" ref="G48:G79" si="17" xml:space="preserve"> (C48&lt;edad_ret_m) * (A48&gt;=a_afil)</f>
        <v>1</v>
      </c>
      <c r="H48" s="30">
        <v>0.10443228483200073</v>
      </c>
      <c r="I48" s="37">
        <f t="shared" si="5"/>
        <v>0.57999999999999996</v>
      </c>
      <c r="J48" s="37">
        <f t="shared" si="6"/>
        <v>0.57999999999999996</v>
      </c>
      <c r="K48" s="84"/>
      <c r="L48" s="71"/>
      <c r="M48" s="87"/>
      <c r="N48" s="47"/>
      <c r="O48" s="47"/>
      <c r="P48" s="47"/>
      <c r="Q48" s="54">
        <f t="shared" ref="Q48:Q79" si="18">MIN($B48,_xlfn.XLOOKUP($A48,agnos,tope_base)*UF)*12*I48*$X$2</f>
        <v>512628.2757521107</v>
      </c>
      <c r="R48" s="54">
        <f t="shared" ref="R48:R79" si="19">MIN($B48,_xlfn.XLOOKUP($A48,agnos,tope_base)*UF)*12*J48*$X$2</f>
        <v>512628.2757521107</v>
      </c>
      <c r="S48" s="54">
        <f t="shared" si="9"/>
        <v>512628.2757521107</v>
      </c>
      <c r="T48" s="54">
        <f t="shared" si="10"/>
        <v>512628.2757521107</v>
      </c>
      <c r="U48" s="47"/>
      <c r="V48" s="47"/>
      <c r="W48" s="47"/>
      <c r="X48" s="47"/>
      <c r="Y48" s="47"/>
      <c r="Z48" s="54">
        <f t="shared" si="11"/>
        <v>6115087.9683796829</v>
      </c>
      <c r="AA48" s="54">
        <f t="shared" si="12"/>
        <v>6115087.9683796829</v>
      </c>
      <c r="AB48" s="54">
        <f t="shared" si="13"/>
        <v>6115087.9683796829</v>
      </c>
      <c r="AC48" s="54">
        <f t="shared" si="14"/>
        <v>6115087.9683796829</v>
      </c>
      <c r="AI48" s="52">
        <f>($A48=Esc_6c!D$9)*Z48/(12*_xlfn.XLOOKUP(AI$15,sexo_cnu,cnu))</f>
        <v>0</v>
      </c>
      <c r="AJ48" s="52">
        <f>($A48=Esc_6c!E$9)*AA48/(12*_xlfn.XLOOKUP(AJ$15,sexo_cnu,cnu))</f>
        <v>0</v>
      </c>
      <c r="AK48" s="52">
        <f>($A48=Esc_6c!D$9)*AB48/(12*_xlfn.XLOOKUP(AK$15,sexo_cnu,cnu))</f>
        <v>0</v>
      </c>
      <c r="AL48" s="52">
        <f>($A48=Esc_6c!E$9)*AC48/(12*_xlfn.XLOOKUP(AL$15,sexo_cnu,cnu))</f>
        <v>0</v>
      </c>
      <c r="AM48" s="30"/>
      <c r="AN48" s="30"/>
      <c r="AO48" s="30"/>
      <c r="AP48" s="30"/>
      <c r="AU48" s="39"/>
      <c r="AV48" s="39"/>
    </row>
    <row r="49" spans="1:48" x14ac:dyDescent="0.25">
      <c r="A49" s="30">
        <v>2014</v>
      </c>
      <c r="B49" s="33">
        <f>w_uf*UF*Parámetros!C36</f>
        <v>764995.80232650624</v>
      </c>
      <c r="C49" s="30">
        <f t="shared" si="15"/>
        <v>35</v>
      </c>
      <c r="D49" s="30">
        <f>((A49=Inputs!$C$12)*(Inputs!$D$12) + (A49=Inputs!$C$13)*(Inputs!$D$13) + (A49=Inputs!$C$14)*(Inputs!$D$14)) *(A49 &gt;= a_afil)*(A49&gt;=2024)</f>
        <v>0</v>
      </c>
      <c r="E49" s="30">
        <v>0</v>
      </c>
      <c r="F49" s="30">
        <f t="shared" si="16"/>
        <v>1</v>
      </c>
      <c r="G49" s="30">
        <f t="shared" si="17"/>
        <v>1</v>
      </c>
      <c r="H49" s="30">
        <v>0.185402512550354</v>
      </c>
      <c r="I49" s="37">
        <f t="shared" si="5"/>
        <v>0.57999999999999996</v>
      </c>
      <c r="J49" s="37">
        <f t="shared" si="6"/>
        <v>0.57999999999999996</v>
      </c>
      <c r="K49" s="84"/>
      <c r="L49" s="71"/>
      <c r="M49" s="87"/>
      <c r="N49" s="47"/>
      <c r="O49" s="47"/>
      <c r="P49" s="47"/>
      <c r="Q49" s="54">
        <f t="shared" si="18"/>
        <v>532437.07841924846</v>
      </c>
      <c r="R49" s="54">
        <f t="shared" si="19"/>
        <v>532437.07841924846</v>
      </c>
      <c r="S49" s="54">
        <f t="shared" si="9"/>
        <v>532437.07841924846</v>
      </c>
      <c r="T49" s="54">
        <f t="shared" si="10"/>
        <v>532437.07841924846</v>
      </c>
      <c r="U49" s="47"/>
      <c r="V49" s="47"/>
      <c r="W49" s="47"/>
      <c r="X49" s="47"/>
      <c r="Y49" s="47"/>
      <c r="Z49" s="54">
        <f t="shared" ref="Z49:Z80" si="20">F48*Z48*(1+_xlfn.XLOOKUP(MIN(2024,$A48),agnos_rent,rent_base))+Q49</f>
        <v>6933711.1637190999</v>
      </c>
      <c r="AA49" s="54">
        <f t="shared" ref="AA49:AA80" si="21">G48*AA48*(1+_xlfn.XLOOKUP(MIN(2024,$A48),agnos_rent,rent_base))+R49</f>
        <v>6933711.1637190999</v>
      </c>
      <c r="AB49" s="54">
        <f t="shared" si="13"/>
        <v>6933711.1637190999</v>
      </c>
      <c r="AC49" s="54">
        <f t="shared" si="14"/>
        <v>6933711.1637190999</v>
      </c>
      <c r="AI49" s="52">
        <f>($A49=Esc_6c!D$9)*Z49/(12*_xlfn.XLOOKUP(AI$15,sexo_cnu,cnu))</f>
        <v>0</v>
      </c>
      <c r="AJ49" s="52">
        <f>($A49=Esc_6c!E$9)*AA49/(12*_xlfn.XLOOKUP(AJ$15,sexo_cnu,cnu))</f>
        <v>0</v>
      </c>
      <c r="AK49" s="52">
        <f>($A49=Esc_6c!D$9)*AB49/(12*_xlfn.XLOOKUP(AK$15,sexo_cnu,cnu))</f>
        <v>0</v>
      </c>
      <c r="AL49" s="52">
        <f>($A49=Esc_6c!E$9)*AC49/(12*_xlfn.XLOOKUP(AL$15,sexo_cnu,cnu))</f>
        <v>0</v>
      </c>
      <c r="AM49" s="30"/>
      <c r="AN49" s="30"/>
      <c r="AO49" s="30"/>
      <c r="AP49" s="30"/>
      <c r="AU49" s="39"/>
      <c r="AV49" s="39"/>
    </row>
    <row r="50" spans="1:48" x14ac:dyDescent="0.25">
      <c r="A50" s="30">
        <v>2015</v>
      </c>
      <c r="B50" s="33">
        <f>w_uf*UF*Parámetros!C37</f>
        <v>778500.52543035639</v>
      </c>
      <c r="C50" s="30">
        <f t="shared" si="15"/>
        <v>36</v>
      </c>
      <c r="D50" s="30">
        <f>((A50=Inputs!$C$12)*(Inputs!$D$12) + (A50=Inputs!$C$13)*(Inputs!$D$13) + (A50=Inputs!$C$14)*(Inputs!$D$14)) *(A50 &gt;= a_afil)*(A50&gt;=2024)</f>
        <v>0</v>
      </c>
      <c r="E50" s="30">
        <v>0</v>
      </c>
      <c r="F50" s="30">
        <f t="shared" si="16"/>
        <v>1</v>
      </c>
      <c r="G50" s="30">
        <f t="shared" si="17"/>
        <v>1</v>
      </c>
      <c r="H50" s="30">
        <v>7.7684700489044189E-2</v>
      </c>
      <c r="I50" s="37">
        <f t="shared" si="5"/>
        <v>0.57999999999999996</v>
      </c>
      <c r="J50" s="37">
        <f t="shared" si="6"/>
        <v>0.57999999999999996</v>
      </c>
      <c r="K50" s="84"/>
      <c r="L50" s="71"/>
      <c r="M50" s="87"/>
      <c r="N50" s="47"/>
      <c r="O50" s="47"/>
      <c r="P50" s="47"/>
      <c r="Q50" s="54">
        <f t="shared" si="18"/>
        <v>541836.36569952813</v>
      </c>
      <c r="R50" s="54">
        <f t="shared" si="19"/>
        <v>541836.36569952813</v>
      </c>
      <c r="S50" s="54">
        <f t="shared" si="9"/>
        <v>541836.36569952813</v>
      </c>
      <c r="T50" s="54">
        <f t="shared" si="10"/>
        <v>541836.36569952813</v>
      </c>
      <c r="U50" s="47"/>
      <c r="V50" s="47"/>
      <c r="W50" s="47"/>
      <c r="X50" s="47"/>
      <c r="Y50" s="47"/>
      <c r="Z50" s="54">
        <f t="shared" si="20"/>
        <v>8099581.5341533469</v>
      </c>
      <c r="AA50" s="54">
        <f t="shared" si="21"/>
        <v>8099581.5341533469</v>
      </c>
      <c r="AB50" s="54">
        <f t="shared" si="13"/>
        <v>8099581.5341533469</v>
      </c>
      <c r="AC50" s="54">
        <f t="shared" si="14"/>
        <v>8099581.5341533469</v>
      </c>
      <c r="AI50" s="52">
        <f>($A50=Esc_6c!D$9)*Z50/(12*_xlfn.XLOOKUP(AI$15,sexo_cnu,cnu))</f>
        <v>0</v>
      </c>
      <c r="AJ50" s="52">
        <f>($A50=Esc_6c!E$9)*AA50/(12*_xlfn.XLOOKUP(AJ$15,sexo_cnu,cnu))</f>
        <v>0</v>
      </c>
      <c r="AK50" s="52">
        <f>($A50=Esc_6c!D$9)*AB50/(12*_xlfn.XLOOKUP(AK$15,sexo_cnu,cnu))</f>
        <v>0</v>
      </c>
      <c r="AL50" s="52">
        <f>($A50=Esc_6c!E$9)*AC50/(12*_xlfn.XLOOKUP(AL$15,sexo_cnu,cnu))</f>
        <v>0</v>
      </c>
      <c r="AM50" s="30"/>
      <c r="AN50" s="30"/>
      <c r="AO50" s="30"/>
      <c r="AP50" s="30"/>
      <c r="AU50" s="39"/>
      <c r="AV50" s="39"/>
    </row>
    <row r="51" spans="1:48" x14ac:dyDescent="0.25">
      <c r="A51" s="30">
        <v>2016</v>
      </c>
      <c r="B51" s="33">
        <f>w_uf*UF*Parámetros!C38</f>
        <v>792334.44954061578</v>
      </c>
      <c r="C51" s="30">
        <f t="shared" si="15"/>
        <v>37</v>
      </c>
      <c r="D51" s="30">
        <f>((A51=Inputs!$C$12)*(Inputs!$D$12) + (A51=Inputs!$C$13)*(Inputs!$D$13) + (A51=Inputs!$C$14)*(Inputs!$D$14)) *(A51 &gt;= a_afil)*(A51&gt;=2024)</f>
        <v>0</v>
      </c>
      <c r="E51" s="30">
        <v>0</v>
      </c>
      <c r="F51" s="30">
        <f t="shared" si="16"/>
        <v>1</v>
      </c>
      <c r="G51" s="30">
        <f t="shared" si="17"/>
        <v>1</v>
      </c>
      <c r="H51" s="30">
        <v>0.43275952339172363</v>
      </c>
      <c r="I51" s="37">
        <f t="shared" si="5"/>
        <v>0.57999999999999996</v>
      </c>
      <c r="J51" s="37">
        <f t="shared" si="6"/>
        <v>0.57999999999999996</v>
      </c>
      <c r="K51" s="84"/>
      <c r="L51" s="71"/>
      <c r="M51" s="87"/>
      <c r="N51" s="47"/>
      <c r="O51" s="47"/>
      <c r="P51" s="47"/>
      <c r="Q51" s="54">
        <f t="shared" si="18"/>
        <v>551464.77688026847</v>
      </c>
      <c r="R51" s="54">
        <f t="shared" si="19"/>
        <v>551464.77688026847</v>
      </c>
      <c r="S51" s="54">
        <f t="shared" si="9"/>
        <v>551464.77688026847</v>
      </c>
      <c r="T51" s="54">
        <f t="shared" si="10"/>
        <v>551464.77688026847</v>
      </c>
      <c r="U51" s="47"/>
      <c r="V51" s="47"/>
      <c r="W51" s="47"/>
      <c r="X51" s="47"/>
      <c r="Y51" s="47"/>
      <c r="Z51" s="54">
        <f t="shared" si="20"/>
        <v>8825997.2721713278</v>
      </c>
      <c r="AA51" s="54">
        <f t="shared" si="21"/>
        <v>8825997.2721713278</v>
      </c>
      <c r="AB51" s="54">
        <f t="shared" si="13"/>
        <v>8825997.2721713278</v>
      </c>
      <c r="AC51" s="54">
        <f t="shared" si="14"/>
        <v>8825997.2721713278</v>
      </c>
      <c r="AI51" s="52">
        <f>($A51=Esc_6c!D$9)*Z51/(12*_xlfn.XLOOKUP(AI$15,sexo_cnu,cnu))</f>
        <v>0</v>
      </c>
      <c r="AJ51" s="52">
        <f>($A51=Esc_6c!E$9)*AA51/(12*_xlfn.XLOOKUP(AJ$15,sexo_cnu,cnu))</f>
        <v>0</v>
      </c>
      <c r="AK51" s="52">
        <f>($A51=Esc_6c!D$9)*AB51/(12*_xlfn.XLOOKUP(AK$15,sexo_cnu,cnu))</f>
        <v>0</v>
      </c>
      <c r="AL51" s="52">
        <f>($A51=Esc_6c!E$9)*AC51/(12*_xlfn.XLOOKUP(AL$15,sexo_cnu,cnu))</f>
        <v>0</v>
      </c>
      <c r="AM51" s="30"/>
      <c r="AN51" s="30"/>
      <c r="AO51" s="30"/>
      <c r="AP51" s="30"/>
      <c r="AU51" s="39"/>
      <c r="AV51" s="39"/>
    </row>
    <row r="52" spans="1:48" x14ac:dyDescent="0.25">
      <c r="A52" s="30">
        <v>2017</v>
      </c>
      <c r="B52" s="33">
        <f>w_uf*UF*Parámetros!C39</f>
        <v>803385.12877850304</v>
      </c>
      <c r="C52" s="30">
        <f t="shared" si="15"/>
        <v>38</v>
      </c>
      <c r="D52" s="30">
        <f>((A52=Inputs!$C$12)*(Inputs!$D$12) + (A52=Inputs!$C$13)*(Inputs!$D$13) + (A52=Inputs!$C$14)*(Inputs!$D$14)) *(A52 &gt;= a_afil)*(A52&gt;=2024)</f>
        <v>0</v>
      </c>
      <c r="E52" s="30">
        <v>0</v>
      </c>
      <c r="F52" s="30">
        <f t="shared" si="16"/>
        <v>1</v>
      </c>
      <c r="G52" s="30">
        <f t="shared" si="17"/>
        <v>1</v>
      </c>
      <c r="H52" s="30">
        <v>0.9592708945274353</v>
      </c>
      <c r="I52" s="37">
        <f t="shared" si="5"/>
        <v>0.57999999999999996</v>
      </c>
      <c r="J52" s="37">
        <f t="shared" si="6"/>
        <v>0.57999999999999996</v>
      </c>
      <c r="K52" s="84"/>
      <c r="L52" s="71"/>
      <c r="M52" s="87"/>
      <c r="N52" s="47"/>
      <c r="O52" s="47"/>
      <c r="P52" s="47"/>
      <c r="Q52" s="54">
        <f t="shared" si="18"/>
        <v>559156.04962983809</v>
      </c>
      <c r="R52" s="54">
        <f t="shared" si="19"/>
        <v>559156.04962983809</v>
      </c>
      <c r="S52" s="54">
        <f t="shared" si="9"/>
        <v>559156.04962983809</v>
      </c>
      <c r="T52" s="54">
        <f t="shared" si="10"/>
        <v>559156.04962983809</v>
      </c>
      <c r="U52" s="47"/>
      <c r="V52" s="47"/>
      <c r="W52" s="47"/>
      <c r="X52" s="47"/>
      <c r="Y52" s="47"/>
      <c r="Z52" s="54">
        <f t="shared" si="20"/>
        <v>9538725.6743369475</v>
      </c>
      <c r="AA52" s="54">
        <f t="shared" si="21"/>
        <v>9538725.6743369475</v>
      </c>
      <c r="AB52" s="54">
        <f t="shared" si="13"/>
        <v>9538725.6743369475</v>
      </c>
      <c r="AC52" s="54">
        <f t="shared" si="14"/>
        <v>9538725.6743369475</v>
      </c>
      <c r="AI52" s="52">
        <f>($A52=Esc_6c!D$9)*Z52/(12*_xlfn.XLOOKUP(AI$15,sexo_cnu,cnu))</f>
        <v>0</v>
      </c>
      <c r="AJ52" s="52">
        <f>($A52=Esc_6c!E$9)*AA52/(12*_xlfn.XLOOKUP(AJ$15,sexo_cnu,cnu))</f>
        <v>0</v>
      </c>
      <c r="AK52" s="52">
        <f>($A52=Esc_6c!D$9)*AB52/(12*_xlfn.XLOOKUP(AK$15,sexo_cnu,cnu))</f>
        <v>0</v>
      </c>
      <c r="AL52" s="52">
        <f>($A52=Esc_6c!E$9)*AC52/(12*_xlfn.XLOOKUP(AL$15,sexo_cnu,cnu))</f>
        <v>0</v>
      </c>
      <c r="AM52" s="30"/>
      <c r="AN52" s="30"/>
      <c r="AO52" s="30"/>
      <c r="AP52" s="30"/>
      <c r="AU52" s="39"/>
      <c r="AV52" s="39"/>
    </row>
    <row r="53" spans="1:48" x14ac:dyDescent="0.25">
      <c r="A53" s="30">
        <v>2018</v>
      </c>
      <c r="B53" s="33">
        <f>w_uf*UF*Parámetros!C40</f>
        <v>822725.68790506921</v>
      </c>
      <c r="C53" s="30">
        <f t="shared" si="15"/>
        <v>39</v>
      </c>
      <c r="D53" s="30">
        <f>((A53=Inputs!$C$12)*(Inputs!$D$12) + (A53=Inputs!$C$13)*(Inputs!$D$13) + (A53=Inputs!$C$14)*(Inputs!$D$14)) *(A53 &gt;= a_afil)*(A53&gt;=2024)</f>
        <v>0</v>
      </c>
      <c r="E53" s="30">
        <v>0</v>
      </c>
      <c r="F53" s="30">
        <f t="shared" si="16"/>
        <v>1</v>
      </c>
      <c r="G53" s="30">
        <f t="shared" si="17"/>
        <v>1</v>
      </c>
      <c r="H53" s="30">
        <v>0.54202926158905029</v>
      </c>
      <c r="I53" s="37">
        <f t="shared" si="5"/>
        <v>0.57999999999999996</v>
      </c>
      <c r="J53" s="37">
        <f t="shared" si="6"/>
        <v>0.57999999999999996</v>
      </c>
      <c r="K53" s="84"/>
      <c r="L53" s="71"/>
      <c r="M53" s="87"/>
      <c r="N53" s="47"/>
      <c r="O53" s="47"/>
      <c r="P53" s="47"/>
      <c r="Q53" s="54">
        <f t="shared" si="18"/>
        <v>572617.07878192805</v>
      </c>
      <c r="R53" s="54">
        <f t="shared" si="19"/>
        <v>572617.07878192805</v>
      </c>
      <c r="S53" s="54">
        <f t="shared" si="9"/>
        <v>572617.07878192805</v>
      </c>
      <c r="T53" s="54">
        <f t="shared" si="10"/>
        <v>572617.07878192805</v>
      </c>
      <c r="U53" s="47"/>
      <c r="V53" s="47"/>
      <c r="W53" s="47"/>
      <c r="X53" s="47"/>
      <c r="Y53" s="47"/>
      <c r="Z53" s="54">
        <f t="shared" si="20"/>
        <v>10827701.051261581</v>
      </c>
      <c r="AA53" s="54">
        <f t="shared" si="21"/>
        <v>10827701.051261581</v>
      </c>
      <c r="AB53" s="54">
        <f t="shared" si="13"/>
        <v>10827701.051261581</v>
      </c>
      <c r="AC53" s="54">
        <f t="shared" si="14"/>
        <v>10827701.051261581</v>
      </c>
      <c r="AI53" s="52">
        <f>($A53=Esc_6c!D$9)*Z53/(12*_xlfn.XLOOKUP(AI$15,sexo_cnu,cnu))</f>
        <v>0</v>
      </c>
      <c r="AJ53" s="52">
        <f>($A53=Esc_6c!E$9)*AA53/(12*_xlfn.XLOOKUP(AJ$15,sexo_cnu,cnu))</f>
        <v>0</v>
      </c>
      <c r="AK53" s="52">
        <f>($A53=Esc_6c!D$9)*AB53/(12*_xlfn.XLOOKUP(AK$15,sexo_cnu,cnu))</f>
        <v>0</v>
      </c>
      <c r="AL53" s="52">
        <f>($A53=Esc_6c!E$9)*AC53/(12*_xlfn.XLOOKUP(AL$15,sexo_cnu,cnu))</f>
        <v>0</v>
      </c>
      <c r="AM53" s="30"/>
      <c r="AN53" s="30"/>
      <c r="AO53" s="30"/>
      <c r="AP53" s="30"/>
      <c r="AU53" s="39"/>
      <c r="AV53" s="39"/>
    </row>
    <row r="54" spans="1:48" x14ac:dyDescent="0.25">
      <c r="A54" s="30">
        <v>2019</v>
      </c>
      <c r="B54" s="33">
        <f>w_uf*UF*Parámetros!C41</f>
        <v>838302.88098108873</v>
      </c>
      <c r="C54" s="30">
        <f t="shared" si="15"/>
        <v>40</v>
      </c>
      <c r="D54" s="30">
        <f>((A54=Inputs!$C$12)*(Inputs!$D$12) + (A54=Inputs!$C$13)*(Inputs!$D$13) + (A54=Inputs!$C$14)*(Inputs!$D$14)) *(A54 &gt;= a_afil)*(A54&gt;=2024)</f>
        <v>0</v>
      </c>
      <c r="E54" s="30">
        <v>0</v>
      </c>
      <c r="F54" s="30">
        <f t="shared" si="16"/>
        <v>1</v>
      </c>
      <c r="G54" s="30">
        <f t="shared" si="17"/>
        <v>1</v>
      </c>
      <c r="H54" s="30">
        <v>0.49437671899795532</v>
      </c>
      <c r="I54" s="37">
        <f t="shared" si="5"/>
        <v>0.57999999999999996</v>
      </c>
      <c r="J54" s="37">
        <f t="shared" si="6"/>
        <v>0.57999999999999996</v>
      </c>
      <c r="K54" s="84"/>
      <c r="L54" s="71"/>
      <c r="M54" s="87"/>
      <c r="N54" s="47"/>
      <c r="O54" s="47"/>
      <c r="P54" s="47"/>
      <c r="Q54" s="54">
        <f t="shared" si="18"/>
        <v>583458.80516283773</v>
      </c>
      <c r="R54" s="54">
        <f t="shared" si="19"/>
        <v>583458.80516283773</v>
      </c>
      <c r="S54" s="54">
        <f t="shared" si="9"/>
        <v>583458.80516283773</v>
      </c>
      <c r="T54" s="54">
        <f t="shared" si="10"/>
        <v>583458.80516283773</v>
      </c>
      <c r="U54" s="47"/>
      <c r="V54" s="47"/>
      <c r="W54" s="47"/>
      <c r="X54" s="47"/>
      <c r="Y54" s="47"/>
      <c r="Z54" s="54">
        <f t="shared" si="20"/>
        <v>11314793.317068191</v>
      </c>
      <c r="AA54" s="54">
        <f t="shared" si="21"/>
        <v>11314793.317068191</v>
      </c>
      <c r="AB54" s="54">
        <f t="shared" si="13"/>
        <v>11314793.317068191</v>
      </c>
      <c r="AC54" s="54">
        <f t="shared" si="14"/>
        <v>11314793.317068191</v>
      </c>
      <c r="AI54" s="52">
        <f>($A54=Esc_6c!D$9)*Z54/(12*_xlfn.XLOOKUP(AI$15,sexo_cnu,cnu))</f>
        <v>0</v>
      </c>
      <c r="AJ54" s="52">
        <f>($A54=Esc_6c!E$9)*AA54/(12*_xlfn.XLOOKUP(AJ$15,sexo_cnu,cnu))</f>
        <v>0</v>
      </c>
      <c r="AK54" s="52">
        <f>($A54=Esc_6c!D$9)*AB54/(12*_xlfn.XLOOKUP(AK$15,sexo_cnu,cnu))</f>
        <v>0</v>
      </c>
      <c r="AL54" s="52">
        <f>($A54=Esc_6c!E$9)*AC54/(12*_xlfn.XLOOKUP(AL$15,sexo_cnu,cnu))</f>
        <v>0</v>
      </c>
      <c r="AM54" s="30"/>
      <c r="AN54" s="30"/>
      <c r="AO54" s="30"/>
      <c r="AP54" s="30"/>
      <c r="AU54" s="39"/>
      <c r="AV54" s="39"/>
    </row>
    <row r="55" spans="1:48" x14ac:dyDescent="0.25">
      <c r="A55" s="30">
        <v>2020</v>
      </c>
      <c r="B55" s="33">
        <f>w_uf*UF*Parámetros!C42</f>
        <v>855481.18804282811</v>
      </c>
      <c r="C55" s="30">
        <f t="shared" si="15"/>
        <v>41</v>
      </c>
      <c r="D55" s="30">
        <f>((A55=Inputs!$C$12)*(Inputs!$D$12) + (A55=Inputs!$C$13)*(Inputs!$D$13) + (A55=Inputs!$C$14)*(Inputs!$D$14)) *(A55 &gt;= a_afil)*(A55&gt;=2024)</f>
        <v>0</v>
      </c>
      <c r="E55" s="30">
        <v>0</v>
      </c>
      <c r="F55" s="30">
        <f t="shared" si="16"/>
        <v>1</v>
      </c>
      <c r="G55" s="30">
        <f t="shared" si="17"/>
        <v>1</v>
      </c>
      <c r="H55" s="30">
        <v>0.97296667098999023</v>
      </c>
      <c r="I55" s="37">
        <f t="shared" si="5"/>
        <v>0.57999999999999996</v>
      </c>
      <c r="J55" s="37">
        <f t="shared" si="6"/>
        <v>0.57999999999999996</v>
      </c>
      <c r="K55" s="84"/>
      <c r="L55" s="71"/>
      <c r="M55" s="97"/>
      <c r="N55" s="98"/>
      <c r="O55" s="98"/>
      <c r="P55" s="98"/>
      <c r="Q55" s="192">
        <f t="shared" si="18"/>
        <v>595414.90687780839</v>
      </c>
      <c r="R55" s="192">
        <f t="shared" si="19"/>
        <v>595414.90687780839</v>
      </c>
      <c r="S55" s="192">
        <f t="shared" si="9"/>
        <v>595414.90687780839</v>
      </c>
      <c r="T55" s="192">
        <f t="shared" si="10"/>
        <v>595414.90687780839</v>
      </c>
      <c r="U55" s="98"/>
      <c r="V55" s="98"/>
      <c r="W55" s="98"/>
      <c r="X55" s="98"/>
      <c r="Y55" s="98"/>
      <c r="Z55" s="192">
        <f t="shared" si="20"/>
        <v>13602901.3041794</v>
      </c>
      <c r="AA55" s="192">
        <f t="shared" si="21"/>
        <v>13602901.3041794</v>
      </c>
      <c r="AB55" s="192">
        <f t="shared" si="13"/>
        <v>13602901.3041794</v>
      </c>
      <c r="AC55" s="192">
        <f t="shared" si="14"/>
        <v>13602901.3041794</v>
      </c>
      <c r="AD55" s="96"/>
      <c r="AE55" s="96"/>
      <c r="AF55" s="96"/>
      <c r="AG55" s="96"/>
      <c r="AH55" s="96"/>
      <c r="AI55" s="189">
        <f>($A55=Esc_6c!D$9)*Z55/(12*_xlfn.XLOOKUP(AI$15,sexo_cnu,cnu))</f>
        <v>0</v>
      </c>
      <c r="AJ55" s="189">
        <f>($A55=Esc_6c!E$9)*AA55/(12*_xlfn.XLOOKUP(AJ$15,sexo_cnu,cnu))</f>
        <v>0</v>
      </c>
      <c r="AK55" s="189">
        <f>($A55=Esc_6c!D$9)*AB55/(12*_xlfn.XLOOKUP(AK$15,sexo_cnu,cnu))</f>
        <v>0</v>
      </c>
      <c r="AL55" s="189">
        <f>($A55=Esc_6c!E$9)*AC55/(12*_xlfn.XLOOKUP(AL$15,sexo_cnu,cnu))</f>
        <v>0</v>
      </c>
      <c r="AM55" s="30"/>
      <c r="AN55" s="30"/>
      <c r="AO55" s="30"/>
      <c r="AP55" s="30"/>
      <c r="AU55" s="39"/>
      <c r="AV55" s="39"/>
    </row>
    <row r="56" spans="1:48" x14ac:dyDescent="0.25">
      <c r="A56" s="30">
        <v>2021</v>
      </c>
      <c r="B56" s="33">
        <f>w_uf*UF*Parámetros!C43</f>
        <v>860479.05786741071</v>
      </c>
      <c r="C56" s="30">
        <f t="shared" si="15"/>
        <v>42</v>
      </c>
      <c r="D56" s="30">
        <f>((A56=Inputs!$C$12)*(Inputs!$D$12) + (A56=Inputs!$C$13)*(Inputs!$D$13) + (A56=Inputs!$C$14)*(Inputs!$D$14)) *(A56 &gt;= a_afil)*(A56&gt;=2024)</f>
        <v>0</v>
      </c>
      <c r="E56" s="30">
        <v>0</v>
      </c>
      <c r="F56" s="30">
        <f t="shared" si="16"/>
        <v>1</v>
      </c>
      <c r="G56" s="30">
        <f t="shared" si="17"/>
        <v>1</v>
      </c>
      <c r="H56" s="30">
        <v>0.2177998423576355</v>
      </c>
      <c r="I56" s="37">
        <f t="shared" si="5"/>
        <v>0.57999999999999996</v>
      </c>
      <c r="J56" s="37">
        <f t="shared" si="6"/>
        <v>0.57999999999999996</v>
      </c>
      <c r="K56" s="84"/>
      <c r="L56" s="71"/>
      <c r="M56" s="47"/>
      <c r="N56" s="47"/>
      <c r="O56" s="47"/>
      <c r="P56" s="47"/>
      <c r="Q56" s="54">
        <f t="shared" si="18"/>
        <v>598893.42427571793</v>
      </c>
      <c r="R56" s="54">
        <f t="shared" si="19"/>
        <v>598893.42427571793</v>
      </c>
      <c r="S56" s="54">
        <f t="shared" si="9"/>
        <v>598893.42427571793</v>
      </c>
      <c r="T56" s="54">
        <f t="shared" si="10"/>
        <v>598893.42427571793</v>
      </c>
      <c r="U56" s="47"/>
      <c r="V56" s="47"/>
      <c r="W56" s="47"/>
      <c r="X56" s="47"/>
      <c r="Y56" s="47"/>
      <c r="Z56" s="54">
        <f t="shared" si="20"/>
        <v>14789440.064795667</v>
      </c>
      <c r="AA56" s="54">
        <f t="shared" si="21"/>
        <v>14789440.064795667</v>
      </c>
      <c r="AB56" s="54">
        <f t="shared" si="13"/>
        <v>14789440.064795667</v>
      </c>
      <c r="AC56" s="54">
        <f t="shared" si="14"/>
        <v>14789440.064795667</v>
      </c>
      <c r="AI56" s="52">
        <f>($A56=Esc_6c!D$9)*Z56/(12*_xlfn.XLOOKUP(AI$15,sexo_cnu,cnu))</f>
        <v>0</v>
      </c>
      <c r="AJ56" s="52">
        <f>($A56=Esc_6c!E$9)*AA56/(12*_xlfn.XLOOKUP(AJ$15,sexo_cnu,cnu))</f>
        <v>0</v>
      </c>
      <c r="AK56" s="52">
        <f>($A56=Esc_6c!D$9)*AB56/(12*_xlfn.XLOOKUP(AK$15,sexo_cnu,cnu))</f>
        <v>0</v>
      </c>
      <c r="AL56" s="52">
        <f>($A56=Esc_6c!E$9)*AC56/(12*_xlfn.XLOOKUP(AL$15,sexo_cnu,cnu))</f>
        <v>0</v>
      </c>
      <c r="AM56" s="30"/>
      <c r="AN56" s="30"/>
      <c r="AO56" s="30"/>
      <c r="AP56" s="30"/>
      <c r="AU56" s="39"/>
      <c r="AV56" s="39"/>
    </row>
    <row r="57" spans="1:48" x14ac:dyDescent="0.25">
      <c r="A57" s="30">
        <v>2022</v>
      </c>
      <c r="B57" s="33">
        <f>w_uf*UF*Parámetros!C44</f>
        <v>869749.058934264</v>
      </c>
      <c r="C57" s="30">
        <f t="shared" si="15"/>
        <v>43</v>
      </c>
      <c r="D57" s="30">
        <f>((A57=Inputs!$C$12)*(Inputs!$D$12) + (A57=Inputs!$C$13)*(Inputs!$D$13) + (A57=Inputs!$C$14)*(Inputs!$D$14)) *(A57 &gt;= a_afil)*(A57&gt;=2024)</f>
        <v>0</v>
      </c>
      <c r="E57" s="30">
        <v>0</v>
      </c>
      <c r="F57" s="30">
        <f t="shared" si="16"/>
        <v>1</v>
      </c>
      <c r="G57" s="30">
        <f t="shared" si="17"/>
        <v>1</v>
      </c>
      <c r="H57" s="30">
        <v>0.37899124622344971</v>
      </c>
      <c r="I57" s="37">
        <f t="shared" si="5"/>
        <v>0.57999999999999996</v>
      </c>
      <c r="J57" s="37">
        <f t="shared" si="6"/>
        <v>0.57999999999999996</v>
      </c>
      <c r="K57" s="84"/>
      <c r="L57" s="71"/>
      <c r="M57" s="47"/>
      <c r="N57" s="47"/>
      <c r="O57" s="47"/>
      <c r="P57" s="47"/>
      <c r="Q57" s="54">
        <f t="shared" si="18"/>
        <v>605345.34501824772</v>
      </c>
      <c r="R57" s="54">
        <f t="shared" si="19"/>
        <v>605345.34501824772</v>
      </c>
      <c r="S57" s="54">
        <f t="shared" si="9"/>
        <v>605345.34501824772</v>
      </c>
      <c r="T57" s="54">
        <f t="shared" si="10"/>
        <v>605345.34501824772</v>
      </c>
      <c r="U57" s="47"/>
      <c r="V57" s="47"/>
      <c r="W57" s="47"/>
      <c r="X57" s="47"/>
      <c r="Y57" s="47"/>
      <c r="Z57" s="54">
        <f t="shared" si="20"/>
        <v>15047233.568291217</v>
      </c>
      <c r="AA57" s="54">
        <f t="shared" si="21"/>
        <v>15047233.568291217</v>
      </c>
      <c r="AB57" s="54">
        <f t="shared" si="13"/>
        <v>15047233.568291217</v>
      </c>
      <c r="AC57" s="54">
        <f t="shared" si="14"/>
        <v>15047233.568291217</v>
      </c>
      <c r="AI57" s="52">
        <f>($A57=Esc_6c!D$9)*Z57/(12*_xlfn.XLOOKUP(AI$15,sexo_cnu,cnu))</f>
        <v>0</v>
      </c>
      <c r="AJ57" s="52">
        <f>($A57=Esc_6c!E$9)*AA57/(12*_xlfn.XLOOKUP(AJ$15,sexo_cnu,cnu))</f>
        <v>0</v>
      </c>
      <c r="AK57" s="52">
        <f>($A57=Esc_6c!D$9)*AB57/(12*_xlfn.XLOOKUP(AK$15,sexo_cnu,cnu))</f>
        <v>0</v>
      </c>
      <c r="AL57" s="52">
        <f>($A57=Esc_6c!E$9)*AC57/(12*_xlfn.XLOOKUP(AL$15,sexo_cnu,cnu))</f>
        <v>0</v>
      </c>
      <c r="AM57" s="30"/>
      <c r="AN57" s="30"/>
      <c r="AO57" s="30"/>
      <c r="AP57" s="30"/>
      <c r="AU57" s="39"/>
      <c r="AV57" s="39"/>
    </row>
    <row r="58" spans="1:48" s="94" customFormat="1" x14ac:dyDescent="0.25">
      <c r="A58" s="125">
        <v>2023</v>
      </c>
      <c r="B58" s="126">
        <f>w_uf*UF*Parámetros!C45</f>
        <v>849382.71604938281</v>
      </c>
      <c r="C58" s="125">
        <f t="shared" si="15"/>
        <v>44</v>
      </c>
      <c r="D58" s="125">
        <f>((A58=Inputs!$C$12)*(Inputs!$D$12) + (A58=Inputs!$C$13)*(Inputs!$D$13) + (A58=Inputs!$C$14)*(Inputs!$D$14)) *(A58 &gt;= a_afil)*(A58&gt;=2024)</f>
        <v>0</v>
      </c>
      <c r="E58" s="125">
        <v>0</v>
      </c>
      <c r="F58" s="125">
        <f t="shared" si="16"/>
        <v>1</v>
      </c>
      <c r="G58" s="125">
        <f t="shared" si="17"/>
        <v>1</v>
      </c>
      <c r="H58" s="125">
        <v>0.39584428071975708</v>
      </c>
      <c r="I58" s="127">
        <f t="shared" si="5"/>
        <v>0.57999999999999996</v>
      </c>
      <c r="J58" s="127">
        <f t="shared" si="6"/>
        <v>0.57999999999999996</v>
      </c>
      <c r="K58" s="125"/>
      <c r="L58" s="125"/>
      <c r="M58" s="128"/>
      <c r="N58" s="129"/>
      <c r="O58" s="129"/>
      <c r="P58" s="129"/>
      <c r="Q58" s="193">
        <f t="shared" si="18"/>
        <v>591170.37037037034</v>
      </c>
      <c r="R58" s="193">
        <f t="shared" si="19"/>
        <v>591170.37037037034</v>
      </c>
      <c r="S58" s="193">
        <f t="shared" si="9"/>
        <v>591170.37037037034</v>
      </c>
      <c r="T58" s="193">
        <f t="shared" si="10"/>
        <v>591170.37037037034</v>
      </c>
      <c r="U58" s="129"/>
      <c r="V58" s="129"/>
      <c r="W58" s="129"/>
      <c r="X58" s="129"/>
      <c r="Y58" s="129"/>
      <c r="Z58" s="193">
        <f t="shared" si="20"/>
        <v>14252553.727021966</v>
      </c>
      <c r="AA58" s="193">
        <f t="shared" si="21"/>
        <v>14252553.727021966</v>
      </c>
      <c r="AB58" s="193">
        <f t="shared" si="13"/>
        <v>14252553.727021966</v>
      </c>
      <c r="AC58" s="193">
        <f t="shared" si="14"/>
        <v>14252553.727021966</v>
      </c>
      <c r="AD58" s="96"/>
      <c r="AE58" s="96"/>
      <c r="AF58" s="96"/>
      <c r="AG58" s="96"/>
      <c r="AH58" s="125"/>
      <c r="AI58" s="190">
        <f>($A58=Esc_6c!D$9)*Z58/(12*_xlfn.XLOOKUP(AI$15,sexo_cnu,cnu))</f>
        <v>0</v>
      </c>
      <c r="AJ58" s="190">
        <f>($A58=Esc_6c!E$9)*AA58/(12*_xlfn.XLOOKUP(AJ$15,sexo_cnu,cnu))</f>
        <v>0</v>
      </c>
      <c r="AK58" s="190">
        <f>($A58=Esc_6c!D$9)*AB58/(12*_xlfn.XLOOKUP(AK$15,sexo_cnu,cnu))</f>
        <v>0</v>
      </c>
      <c r="AL58" s="190">
        <f>($A58=Esc_6c!E$9)*AC58/(12*_xlfn.XLOOKUP(AL$15,sexo_cnu,cnu))</f>
        <v>0</v>
      </c>
      <c r="AM58" s="125"/>
      <c r="AN58" s="125"/>
      <c r="AO58" s="125"/>
      <c r="AP58" s="125"/>
      <c r="AQ58" s="125"/>
      <c r="AR58" s="125"/>
      <c r="AS58" s="125"/>
      <c r="AT58" s="125"/>
      <c r="AU58" s="95"/>
      <c r="AV58" s="95"/>
    </row>
    <row r="59" spans="1:48" s="69" customFormat="1" x14ac:dyDescent="0.25">
      <c r="A59" s="69">
        <v>2024</v>
      </c>
      <c r="B59" s="66">
        <f>w_uf*UF*Parámetros!C46</f>
        <v>860000</v>
      </c>
      <c r="C59" s="69">
        <f t="shared" si="15"/>
        <v>45</v>
      </c>
      <c r="D59" s="69">
        <f>((A59=Inputs!$C$12)*(Inputs!$D$12) + (A59=Inputs!$C$13)*(Inputs!$D$13) + (A59=Inputs!$C$14)*(Inputs!$D$14)) *(A59 &gt;= a_afil)*(A59&gt;=2024)</f>
        <v>0</v>
      </c>
      <c r="E59" s="69">
        <f>MIN(1,(A59=Inputs!$C$19)*Inputs!$D$19+(A59=Inputs!$C$20)*Inputs!$D$20+(A59=Inputs!$C$21)*Inputs!$D$21 * (A59 &gt;= a_afil))</f>
        <v>0</v>
      </c>
      <c r="F59" s="69">
        <f t="shared" si="16"/>
        <v>1</v>
      </c>
      <c r="G59" s="69">
        <f t="shared" si="17"/>
        <v>1</v>
      </c>
      <c r="H59" s="69">
        <v>0.28150343894958496</v>
      </c>
      <c r="I59" s="67">
        <f t="shared" ref="I59:I89" si="22">IF(F59=1,+dens_cot,0)</f>
        <v>0.57999999999999996</v>
      </c>
      <c r="J59" s="67">
        <f t="shared" ref="J59:J89" si="23">IF(G59=1,+dens_mujer,0)</f>
        <v>0.57999999999999996</v>
      </c>
      <c r="K59" s="65">
        <f>1*OR(Inputs!$D$17=$A59,Inputs!$E$17=$A59)*($E59=0)*(F59=1)</f>
        <v>0</v>
      </c>
      <c r="L59" s="65">
        <f>1*OR(Inputs!$D$17=$A59,Inputs!$E$17=$A59)*($E59=0)*(G59=1)</f>
        <v>0</v>
      </c>
      <c r="M59" s="90">
        <f t="shared" ref="M59:N63" si="24">MIN($B59,_xlfn.XLOOKUP($A59,agnos,tope_ref_col)*UF)*12*I59*$AV59</f>
        <v>59855.999999999993</v>
      </c>
      <c r="N59" s="90">
        <f t="shared" si="24"/>
        <v>59855.999999999993</v>
      </c>
      <c r="O59" s="91">
        <f>MIN(Parámetros!$E46, _xlfn.XLOOKUP($A59,agnos,tope_ref_col)*UF)*12*I59*$AV59</f>
        <v>79708.123709999985</v>
      </c>
      <c r="P59" s="91">
        <f>MIN(Parámetros!$E46, _xlfn.XLOOKUP($A59,agnos,tope_ref_col)*UF)*12*J59*$AV59</f>
        <v>79708.123709999985</v>
      </c>
      <c r="Q59" s="70">
        <f t="shared" si="18"/>
        <v>598560</v>
      </c>
      <c r="R59" s="70">
        <f t="shared" si="19"/>
        <v>598560</v>
      </c>
      <c r="S59" s="91">
        <f>MIN($B59,_xlfn.XLOOKUP($A59,agnos,tope_ref_ind)*UF)*12*I59*$X$2</f>
        <v>598560</v>
      </c>
      <c r="T59" s="91">
        <f>MIN($B59,_xlfn.XLOOKUP($A59,agnos,tope_ref_ind)*UF)*12*J59*$X$2</f>
        <v>598560</v>
      </c>
      <c r="U59" s="89"/>
      <c r="V59" s="68">
        <f>IF($A59&gt;Esc_6c!D$9,0,M59*alpha  +V58*(1+i_noc))</f>
        <v>41899.19999999999</v>
      </c>
      <c r="W59" s="68">
        <f>IF($A59&gt;Esc_6c!E$9,0,N59*alpha  +W58*(1+i_noc))</f>
        <v>41899.19999999999</v>
      </c>
      <c r="X59" s="68">
        <f>IF($A59&gt;Esc_6c!D$9,0,O59*(1-alpha)+X58*(1+i_noc))</f>
        <v>23912.437113</v>
      </c>
      <c r="Y59" s="68">
        <f>IF($A59&gt;Esc_6c!E$9,0,P59*(1-alpha)+Y58*(1+i_noc))</f>
        <v>23912.437113</v>
      </c>
      <c r="Z59" s="70">
        <f t="shared" si="20"/>
        <v>15332850.042995309</v>
      </c>
      <c r="AA59" s="70">
        <f t="shared" si="21"/>
        <v>15332850.042995309</v>
      </c>
      <c r="AB59" s="70">
        <f t="shared" si="13"/>
        <v>15332850.042995309</v>
      </c>
      <c r="AC59" s="70">
        <f t="shared" si="14"/>
        <v>15332850.042995309</v>
      </c>
      <c r="AD59" s="200">
        <f>D59*mmater*Parámetros!$G46*$W$14</f>
        <v>0</v>
      </c>
      <c r="AE59" s="200">
        <f>E59*12*Parámetros!$F46*$W$14</f>
        <v>0</v>
      </c>
      <c r="AF59" s="200">
        <f>IFERROR(K59*$B59*_xlfn.XLOOKUP(n_mes_laguna,giros_sc,tr_sc_acum)*$N$14,0)</f>
        <v>0</v>
      </c>
      <c r="AG59" s="200">
        <f>IFERROR(L59*$B59*_xlfn.XLOOKUP(n_mes_laguna,giros_sc,tr_sc_acum)*$N$14,0)</f>
        <v>0</v>
      </c>
      <c r="AI59" s="74">
        <f>($A59=Esc_6c!D$9)*Z59/(12*_xlfn.XLOOKUP(AI$15,sexo_cnu,cnu))</f>
        <v>0</v>
      </c>
      <c r="AJ59" s="74">
        <f>($A59=Esc_6c!E$9)*AA59/(12*_xlfn.XLOOKUP(AJ$15,sexo_cnu,cnu))</f>
        <v>0</v>
      </c>
      <c r="AK59" s="74">
        <f>($A59=Esc_6c!D$9)*AB59/(12*_xlfn.XLOOKUP(AK$15,sexo_cnu,cnu))</f>
        <v>0</v>
      </c>
      <c r="AL59" s="74">
        <f>($A59=Esc_6c!E$9)*AC59/(12*_xlfn.XLOOKUP(AL$15,sexo_cnu,cnu))</f>
        <v>0</v>
      </c>
      <c r="AM59" s="56">
        <f>($A59=Esc_6c!D$9)*V59/(12*_xlfn.XLOOKUP(AM$15,sexo_cnu,cnu_noc))</f>
        <v>0</v>
      </c>
      <c r="AN59" s="56">
        <f>($A59=Esc_6c!E$9)*W59/(12*_xlfn.XLOOKUP(AN$15,sexo_cnu,cnu_noc))</f>
        <v>0</v>
      </c>
      <c r="AO59" s="56">
        <f>($A59=Esc_6c!D$9)*X59/(12*_xlfn.XLOOKUP(AO$15,sexo_cnu,cnu_noc))</f>
        <v>0</v>
      </c>
      <c r="AP59" s="56">
        <f>($A59=Esc_6c!E$9)*Y59/(12*_xlfn.XLOOKUP(AP$15,sexo_cnu,cnu_noc))</f>
        <v>0</v>
      </c>
      <c r="AQ59" s="56">
        <f>($A59=Esc_6c!E$9)*AD59/(12*_xlfn.XLOOKUP(AQ$15,sexo_cnu,cnu_noc))</f>
        <v>0</v>
      </c>
      <c r="AR59" s="56">
        <f>($A59=Esc_6c!E$9)*AE59/(12*_xlfn.XLOOKUP(AR$15,sexo_cnu,cnu_noc))</f>
        <v>0</v>
      </c>
      <c r="AS59" s="56">
        <f>($A59=Esc_6c!D$9)*AF59/(12*_xlfn.XLOOKUP(AS$15,sexo_cnu,cnu_noc))</f>
        <v>0</v>
      </c>
      <c r="AT59" s="56">
        <f>($A59=Esc_6c!E$9)*AG59/(12*_xlfn.XLOOKUP(AT$15,sexo_cnu,cnu_noc))</f>
        <v>0</v>
      </c>
      <c r="AU59" s="93"/>
      <c r="AV59" s="180" cm="1">
        <f t="array" ref="AV59:AV64">_xlfn.SEQUENCE(6)/6*$X$4</f>
        <v>9.9999999999999985E-3</v>
      </c>
    </row>
    <row r="60" spans="1:48" x14ac:dyDescent="0.25">
      <c r="A60" s="30">
        <v>2025</v>
      </c>
      <c r="B60" s="33">
        <f>w_uf*UF*Parámetros!C47</f>
        <v>870750</v>
      </c>
      <c r="C60" s="30">
        <f t="shared" si="15"/>
        <v>46</v>
      </c>
      <c r="D60" s="30">
        <f>((A60=Inputs!$C$12)*(Inputs!$D$12) + (A60=Inputs!$C$13)*(Inputs!$D$13) + (A60=Inputs!$C$14)*(Inputs!$D$14)) *(A60 &gt;= a_afil)*(A60&gt;=2024)</f>
        <v>0</v>
      </c>
      <c r="E60" s="30">
        <f>MIN(1,(A60=Inputs!$C$19)*Inputs!$D$19+(A60=Inputs!$C$20)*Inputs!$D$20+(A60=Inputs!$C$21)*Inputs!$D$21*(A60 &gt;= a_afil))</f>
        <v>0</v>
      </c>
      <c r="F60" s="30">
        <f t="shared" si="16"/>
        <v>1</v>
      </c>
      <c r="G60" s="30">
        <f t="shared" si="17"/>
        <v>1</v>
      </c>
      <c r="H60" s="30">
        <v>0.50337117910385132</v>
      </c>
      <c r="I60" s="37">
        <f t="shared" si="22"/>
        <v>0.57999999999999996</v>
      </c>
      <c r="J60" s="37">
        <f t="shared" si="23"/>
        <v>0.57999999999999996</v>
      </c>
      <c r="K60" s="30">
        <f>1*OR(Inputs!$D$17=$A60,Inputs!$E$17=$A60)*($E60=0)*(F60=1)</f>
        <v>0</v>
      </c>
      <c r="L60" s="30">
        <f>1*OR(Inputs!$D$17=$A60,Inputs!$E$17=$A60)*($E60=0)*(G60=1)</f>
        <v>0</v>
      </c>
      <c r="M60" s="90">
        <f t="shared" si="24"/>
        <v>121208.39999999998</v>
      </c>
      <c r="N60" s="90">
        <f t="shared" si="24"/>
        <v>121208.39999999998</v>
      </c>
      <c r="O60" s="91">
        <f>MIN(Parámetros!$E47, _xlfn.XLOOKUP($A60,agnos,tope_ref_col)*UF)*12*I60*$AV60</f>
        <v>161408.95051274993</v>
      </c>
      <c r="P60" s="91">
        <f>MIN(Parámetros!$E47, _xlfn.XLOOKUP($A60,agnos,tope_ref_col)*UF)*12*J60*$AV60</f>
        <v>161408.95051274993</v>
      </c>
      <c r="Q60" s="70">
        <f t="shared" si="18"/>
        <v>606042</v>
      </c>
      <c r="R60" s="70">
        <f t="shared" si="19"/>
        <v>606042</v>
      </c>
      <c r="S60" s="76">
        <f>MIN($B60,_xlfn.XLOOKUP($A60,agnos,tope_ref_ind)*UF)*12*I60*$X$2</f>
        <v>606042</v>
      </c>
      <c r="T60" s="76">
        <f>MIN($B60,_xlfn.XLOOKUP($A60,agnos,tope_ref_ind)*UF)*12*J60*$X$2</f>
        <v>606042</v>
      </c>
      <c r="U60" s="38"/>
      <c r="V60" s="55">
        <f>IF($A60&gt;Esc_6c!D$9,0,M60*alpha  +V59*(1+i_noc))</f>
        <v>127583.06399999997</v>
      </c>
      <c r="W60" s="55">
        <f>IF($A60&gt;Esc_6c!E$9,0,N60*alpha  +W59*(1+i_noc))</f>
        <v>127583.06399999997</v>
      </c>
      <c r="X60" s="55">
        <f>IF($A60&gt;Esc_6c!D$9,0,O60*(1-alpha)+X59*(1+i_noc))</f>
        <v>72813.371009084978</v>
      </c>
      <c r="Y60" s="55">
        <f>IF($A60&gt;Esc_6c!E$9,0,P60*(1-alpha)+Y59*(1+i_noc))</f>
        <v>72813.371009084978</v>
      </c>
      <c r="Z60" s="54">
        <f t="shared" si="20"/>
        <v>16457142.374448551</v>
      </c>
      <c r="AA60" s="54">
        <f t="shared" si="21"/>
        <v>16457142.374448551</v>
      </c>
      <c r="AB60" s="54">
        <f t="shared" si="13"/>
        <v>16457142.374448551</v>
      </c>
      <c r="AC60" s="54">
        <f t="shared" si="14"/>
        <v>16457142.374448551</v>
      </c>
      <c r="AD60" s="56">
        <f>D60*mmater*Parámetros!$G47*$W$14+AD59*(1+i_noc)</f>
        <v>0</v>
      </c>
      <c r="AE60" s="56">
        <f>E60*12*Parámetros!$F47*$W$14+AE59*(1+i_noc)</f>
        <v>0</v>
      </c>
      <c r="AF60" s="56">
        <f t="shared" ref="AF60:AF91" si="25">IFERROR(K60*$B60*_xlfn.XLOOKUP(n_mes_laguna,giros_sc,tr_sc_acum)*$N$14,0)+AF59*(1+i_noc)</f>
        <v>0</v>
      </c>
      <c r="AG60" s="56">
        <f t="shared" ref="AG60:AG91" si="26">IFERROR(L60*$B60*_xlfn.XLOOKUP(n_mes_laguna,giros_sc,tr_sc_acum)*$N$14,0)+AG59*(1+i_noc)</f>
        <v>0</v>
      </c>
      <c r="AI60" s="74">
        <f>($A60=Esc_6c!D$9)*Z60/(12*_xlfn.XLOOKUP(AI$15,sexo_cnu,cnu))</f>
        <v>0</v>
      </c>
      <c r="AJ60" s="74">
        <f>($A60=Esc_6c!E$9)*AA60/(12*_xlfn.XLOOKUP(AJ$15,sexo_cnu,cnu))</f>
        <v>0</v>
      </c>
      <c r="AK60" s="74">
        <f>($A60=Esc_6c!D$9)*AB60/(12*_xlfn.XLOOKUP(AK$15,sexo_cnu,cnu))</f>
        <v>0</v>
      </c>
      <c r="AL60" s="74">
        <f>($A60=Esc_6c!E$9)*AC60/(12*_xlfn.XLOOKUP(AL$15,sexo_cnu,cnu))</f>
        <v>0</v>
      </c>
      <c r="AM60" s="53">
        <f>($A60=Esc_6c!D$9)*V60/(12*_xlfn.XLOOKUP(AM$15,sexo_cnu,cnu_noc))</f>
        <v>0</v>
      </c>
      <c r="AN60" s="53">
        <f>($A60=Esc_6c!E$9)*W60/(12*_xlfn.XLOOKUP(AN$15,sexo_cnu,cnu_noc))</f>
        <v>0</v>
      </c>
      <c r="AO60" s="53">
        <f>($A60=Esc_6c!D$9)*X60/(12*_xlfn.XLOOKUP(AO$15,sexo_cnu,cnu_noc))</f>
        <v>0</v>
      </c>
      <c r="AP60" s="53">
        <f>($A60=Esc_6c!E$9)*Y60/(12*_xlfn.XLOOKUP(AP$15,sexo_cnu,cnu_noc))</f>
        <v>0</v>
      </c>
      <c r="AQ60" s="53">
        <f>($A60=Esc_6c!E$9)*AD60/(12*_xlfn.XLOOKUP(AQ$15,sexo_cnu,cnu_noc))</f>
        <v>0</v>
      </c>
      <c r="AR60" s="53">
        <f>($A60=Esc_6c!E$9)*AE60/(12*_xlfn.XLOOKUP(AR$15,sexo_cnu,cnu_noc))</f>
        <v>0</v>
      </c>
      <c r="AS60" s="53">
        <f>($A60=Esc_6c!D$9)*AF60/(12*_xlfn.XLOOKUP(AS$15,sexo_cnu,cnu_noc))</f>
        <v>0</v>
      </c>
      <c r="AT60" s="53">
        <f>($A60=Esc_6c!E$9)*AG60/(12*_xlfn.XLOOKUP(AT$15,sexo_cnu,cnu_noc))</f>
        <v>0</v>
      </c>
      <c r="AU60" s="39"/>
      <c r="AV60" s="180">
        <v>1.9999999999999997E-2</v>
      </c>
    </row>
    <row r="61" spans="1:48" s="47" customFormat="1" x14ac:dyDescent="0.25">
      <c r="A61" s="47">
        <v>2026</v>
      </c>
      <c r="B61" s="33">
        <f>w_uf*UF*Parámetros!C48</f>
        <v>881634.375</v>
      </c>
      <c r="C61" s="47">
        <f t="shared" si="15"/>
        <v>47</v>
      </c>
      <c r="D61" s="47">
        <f>((A61=Inputs!$C$12)*(Inputs!$D$12) + (A61=Inputs!$C$13)*(Inputs!$D$13) + (A61=Inputs!$C$14)*(Inputs!$D$14)) *(A61 &gt;= a_afil)*(A61&gt;=2024)</f>
        <v>0</v>
      </c>
      <c r="E61" s="47">
        <f>MIN(1,(A61=Inputs!$C$19)*Inputs!$D$19+(A61=Inputs!$C$20)*Inputs!$D$20+(A61=Inputs!$C$21)*Inputs!$D$21*(A61 &gt;= a_afil))</f>
        <v>0</v>
      </c>
      <c r="F61" s="47">
        <f t="shared" si="16"/>
        <v>1</v>
      </c>
      <c r="G61" s="47">
        <f t="shared" si="17"/>
        <v>1</v>
      </c>
      <c r="H61" s="47">
        <v>0.13873231410980225</v>
      </c>
      <c r="I61" s="37">
        <f t="shared" si="22"/>
        <v>0.57999999999999996</v>
      </c>
      <c r="J61" s="37">
        <f t="shared" si="23"/>
        <v>0.57999999999999996</v>
      </c>
      <c r="K61" s="30">
        <f>1*OR(Inputs!$D$17=$A61,Inputs!$E$17=$A61)*($E61=0)*(F61=1)</f>
        <v>0</v>
      </c>
      <c r="L61" s="30">
        <f>1*OR(Inputs!$D$17=$A61,Inputs!$E$17=$A61)*($E61=0)*(G61=1)</f>
        <v>0</v>
      </c>
      <c r="M61" s="90">
        <f t="shared" si="24"/>
        <v>184085.25750000001</v>
      </c>
      <c r="N61" s="90">
        <f t="shared" si="24"/>
        <v>184085.25750000001</v>
      </c>
      <c r="O61" s="91">
        <f>MIN(Parámetros!$E48, _xlfn.XLOOKUP($A61,agnos,tope_ref_col)*UF)*12*I61*$AV61</f>
        <v>245139.84359123898</v>
      </c>
      <c r="P61" s="91">
        <f>MIN(Parámetros!$E48, _xlfn.XLOOKUP($A61,agnos,tope_ref_col)*UF)*12*J61*$AV61</f>
        <v>245139.84359123898</v>
      </c>
      <c r="Q61" s="70">
        <f t="shared" si="18"/>
        <v>613617.52500000002</v>
      </c>
      <c r="R61" s="70">
        <f t="shared" si="19"/>
        <v>613617.52500000002</v>
      </c>
      <c r="S61" s="68">
        <f t="shared" ref="S61:S92" si="27">MIN($B61,_xlfn.XLOOKUP($A61,agnos,tope_ref_ind)*UF)*(12*I61 + K61*_xlfn.XLOOKUP(n_mes_laguna,giros_sc,tr_sc_acum)) * $X$3</f>
        <v>644298.40124999988</v>
      </c>
      <c r="T61" s="68">
        <f t="shared" ref="T61:T92" si="28">MIN($B61,_xlfn.XLOOKUP($A61,agnos,tope_ref_ind)*UF)*(12*J61 + L61*_xlfn.XLOOKUP(n_mes_laguna,giros_sc,tr_sc_acum)) * $X$3</f>
        <v>644298.40124999988</v>
      </c>
      <c r="U61" s="44"/>
      <c r="V61" s="55">
        <f>IF($A61&gt;Esc_6c!D$9,0,M61*alpha  +V60*(1+i_noc))</f>
        <v>258994.40552999996</v>
      </c>
      <c r="W61" s="55">
        <f>IF($A61&gt;Esc_6c!E$9,0,N61*alpha  +W60*(1+i_noc))</f>
        <v>258994.40552999996</v>
      </c>
      <c r="X61" s="55">
        <f>IF($A61&gt;Esc_6c!D$9,0,O61*(1-alpha)+X60*(1+i_noc))</f>
        <v>147811.59150663839</v>
      </c>
      <c r="Y61" s="55">
        <f>IF($A61&gt;Esc_6c!E$9,0,P61*(1-alpha)+Y60*(1+i_noc))</f>
        <v>147811.59150663839</v>
      </c>
      <c r="Z61" s="54">
        <f t="shared" si="20"/>
        <v>17627011.311704911</v>
      </c>
      <c r="AA61" s="54">
        <f t="shared" si="21"/>
        <v>17627011.311704911</v>
      </c>
      <c r="AB61" s="68">
        <f t="shared" ref="AB61:AB92" si="29">IF(OR(F61,F60),AB60*(1+_xlfn.XLOOKUP(MIN(2024,$A60),agnos_rent,rent_base))*(1-$X$6)+S61,0)</f>
        <v>17635915.043907933</v>
      </c>
      <c r="AC61" s="68">
        <f t="shared" ref="AC61:AC92" si="30">IF(OR(G61,G60),AC60*(1+_xlfn.XLOOKUP(MIN(2024,$A60),agnos_rent,rent_base))*(1-$X$6)+T61,0)</f>
        <v>17635915.043907933</v>
      </c>
      <c r="AD61" s="53">
        <f>D61*mmater*Parámetros!$G48*$W$14+AD60*(1+i_noc)</f>
        <v>0</v>
      </c>
      <c r="AE61" s="53">
        <f>E61*12*Parámetros!$F48*$W$14+AE60*(1+i_noc)</f>
        <v>0</v>
      </c>
      <c r="AF61" s="53">
        <f t="shared" si="25"/>
        <v>0</v>
      </c>
      <c r="AG61" s="53">
        <f t="shared" si="26"/>
        <v>0</v>
      </c>
      <c r="AI61" s="74">
        <f>($A61=Esc_6c!D$9)*Z61/(12*_xlfn.XLOOKUP(AI$15,sexo_cnu,cnu))</f>
        <v>0</v>
      </c>
      <c r="AJ61" s="74">
        <f>($A61=Esc_6c!E$9)*AA61/(12*_xlfn.XLOOKUP(AJ$15,sexo_cnu,cnu))</f>
        <v>0</v>
      </c>
      <c r="AK61" s="74">
        <f>($A61=Esc_6c!D$9)*AB61/(12*_xlfn.XLOOKUP(AK$15,sexo_cnu,cnu))</f>
        <v>0</v>
      </c>
      <c r="AL61" s="74">
        <f>($A61=Esc_6c!E$9)*AC61/(12*_xlfn.XLOOKUP(AL$15,sexo_cnu,cnu))</f>
        <v>0</v>
      </c>
      <c r="AM61" s="53">
        <f>($A61=Esc_6c!D$9)*V61/(12*_xlfn.XLOOKUP(AM$15,sexo_cnu,cnu_noc))</f>
        <v>0</v>
      </c>
      <c r="AN61" s="53">
        <f>($A61=Esc_6c!E$9)*W61/(12*_xlfn.XLOOKUP(AN$15,sexo_cnu,cnu_noc))</f>
        <v>0</v>
      </c>
      <c r="AO61" s="53">
        <f>($A61=Esc_6c!D$9)*X61/(12*_xlfn.XLOOKUP(AO$15,sexo_cnu,cnu_noc))</f>
        <v>0</v>
      </c>
      <c r="AP61" s="53">
        <f>($A61=Esc_6c!E$9)*Y61/(12*_xlfn.XLOOKUP(AP$15,sexo_cnu,cnu_noc))</f>
        <v>0</v>
      </c>
      <c r="AQ61" s="53">
        <f>($A61=Esc_6c!E$9)*AD61/(12*_xlfn.XLOOKUP(AQ$15,sexo_cnu,cnu_noc))</f>
        <v>0</v>
      </c>
      <c r="AR61" s="53">
        <f>($A61=Esc_6c!E$9)*AE61/(12*_xlfn.XLOOKUP(AR$15,sexo_cnu,cnu_noc))</f>
        <v>0</v>
      </c>
      <c r="AS61" s="53">
        <f>($A61=Esc_6c!D$9)*AF61/(12*_xlfn.XLOOKUP(AS$15,sexo_cnu,cnu_noc))</f>
        <v>0</v>
      </c>
      <c r="AT61" s="53">
        <f>($A61=Esc_6c!E$9)*AG61/(12*_xlfn.XLOOKUP(AT$15,sexo_cnu,cnu_noc))</f>
        <v>0</v>
      </c>
      <c r="AU61" s="48"/>
      <c r="AV61" s="180">
        <v>0.03</v>
      </c>
    </row>
    <row r="62" spans="1:48" x14ac:dyDescent="0.25">
      <c r="A62" s="30">
        <v>2027</v>
      </c>
      <c r="B62" s="33">
        <f>w_uf*UF*Parámetros!C49</f>
        <v>892654.80468749988</v>
      </c>
      <c r="C62" s="30">
        <f t="shared" si="15"/>
        <v>48</v>
      </c>
      <c r="D62" s="30">
        <f>((A62=Inputs!$C$12)*(Inputs!$D$12) + (A62=Inputs!$C$13)*(Inputs!$D$13) + (A62=Inputs!$C$14)*(Inputs!$D$14)) *(A62 &gt;= a_afil)*(A62&gt;=2024)</f>
        <v>0</v>
      </c>
      <c r="E62" s="30">
        <f>MIN(1,(A62=Inputs!$C$19)*Inputs!$D$19+(A62=Inputs!$C$20)*Inputs!$D$20+(A62=Inputs!$C$21)*Inputs!$D$21*(A62 &gt;= a_afil))</f>
        <v>0</v>
      </c>
      <c r="F62" s="30">
        <f t="shared" si="16"/>
        <v>1</v>
      </c>
      <c r="G62" s="30">
        <f t="shared" si="17"/>
        <v>1</v>
      </c>
      <c r="H62" s="30">
        <v>0.51725584268569946</v>
      </c>
      <c r="I62" s="37">
        <f t="shared" si="22"/>
        <v>0.57999999999999996</v>
      </c>
      <c r="J62" s="37">
        <f t="shared" si="23"/>
        <v>0.57999999999999996</v>
      </c>
      <c r="K62" s="30">
        <f>1*OR(Inputs!$D$17=$A62,Inputs!$E$17=$A62)*($E62=0)*(F62=1)</f>
        <v>0</v>
      </c>
      <c r="L62" s="30">
        <f>1*OR(Inputs!$D$17=$A62,Inputs!$E$17=$A62)*($E62=0)*(G62=1)</f>
        <v>0</v>
      </c>
      <c r="M62" s="90">
        <f t="shared" si="24"/>
        <v>248515.09762499991</v>
      </c>
      <c r="N62" s="90">
        <f t="shared" si="24"/>
        <v>248515.09762499991</v>
      </c>
      <c r="O62" s="91">
        <f>MIN(Parámetros!$E49, _xlfn.XLOOKUP($A62,agnos,tope_ref_col)*UF)*12*I62*$AV62</f>
        <v>330938.78884817258</v>
      </c>
      <c r="P62" s="91">
        <f>MIN(Parámetros!$E49, _xlfn.XLOOKUP($A62,agnos,tope_ref_col)*UF)*12*J62*$AV62</f>
        <v>330938.78884817258</v>
      </c>
      <c r="Q62" s="70">
        <f t="shared" si="18"/>
        <v>621287.74406249996</v>
      </c>
      <c r="R62" s="70">
        <f t="shared" si="19"/>
        <v>621287.74406249996</v>
      </c>
      <c r="S62" s="68">
        <f t="shared" si="27"/>
        <v>652352.13126562478</v>
      </c>
      <c r="T62" s="68">
        <f t="shared" si="28"/>
        <v>652352.13126562478</v>
      </c>
      <c r="U62" s="38"/>
      <c r="V62" s="55">
        <f>IF($A62&gt;Esc_6c!D$9,0,M62*alpha  +V61*(1+i_noc))</f>
        <v>438134.86197809986</v>
      </c>
      <c r="W62" s="55">
        <f>IF($A62&gt;Esc_6c!E$9,0,N62*alpha  +W61*(1+i_noc))</f>
        <v>438134.86197809986</v>
      </c>
      <c r="X62" s="55">
        <f>IF($A62&gt;Esc_6c!D$9,0,O62*(1-alpha)+X61*(1+i_noc))</f>
        <v>250049.45999122295</v>
      </c>
      <c r="Y62" s="55">
        <f>IF($A62&gt;Esc_6c!E$9,0,P62*(1-alpha)+Y61*(1+i_noc))</f>
        <v>250049.45999122295</v>
      </c>
      <c r="Z62" s="54">
        <f t="shared" si="20"/>
        <v>18844092.038103037</v>
      </c>
      <c r="AA62" s="54">
        <f t="shared" si="21"/>
        <v>18844092.038103037</v>
      </c>
      <c r="AB62" s="55">
        <f t="shared" si="29"/>
        <v>18861024.132172987</v>
      </c>
      <c r="AC62" s="55">
        <f t="shared" si="30"/>
        <v>18861024.132172987</v>
      </c>
      <c r="AD62" s="53">
        <f>D62*mmater*Parámetros!$G49*$W$14+AD61*(1+i_noc)</f>
        <v>0</v>
      </c>
      <c r="AE62" s="53">
        <f>E62*12*Parámetros!$F49*$W$14+AE61*(1+i_noc)</f>
        <v>0</v>
      </c>
      <c r="AF62" s="53">
        <f t="shared" si="25"/>
        <v>0</v>
      </c>
      <c r="AG62" s="53">
        <f t="shared" si="26"/>
        <v>0</v>
      </c>
      <c r="AI62" s="74">
        <f>($A62=Esc_6c!D$9)*Z62/(12*_xlfn.XLOOKUP(AI$15,sexo_cnu,cnu))</f>
        <v>0</v>
      </c>
      <c r="AJ62" s="74">
        <f>($A62=Esc_6c!E$9)*AA62/(12*_xlfn.XLOOKUP(AJ$15,sexo_cnu,cnu))</f>
        <v>0</v>
      </c>
      <c r="AK62" s="74">
        <f>($A62=Esc_6c!D$9)*AB62/(12*_xlfn.XLOOKUP(AK$15,sexo_cnu,cnu))</f>
        <v>0</v>
      </c>
      <c r="AL62" s="74">
        <f>($A62=Esc_6c!E$9)*AC62/(12*_xlfn.XLOOKUP(AL$15,sexo_cnu,cnu))</f>
        <v>0</v>
      </c>
      <c r="AM62" s="53">
        <f>($A62=Esc_6c!D$9)*V62/(12*_xlfn.XLOOKUP(AM$15,sexo_cnu,cnu_noc))</f>
        <v>0</v>
      </c>
      <c r="AN62" s="53">
        <f>($A62=Esc_6c!E$9)*W62/(12*_xlfn.XLOOKUP(AN$15,sexo_cnu,cnu_noc))</f>
        <v>0</v>
      </c>
      <c r="AO62" s="53">
        <f>($A62=Esc_6c!D$9)*X62/(12*_xlfn.XLOOKUP(AO$15,sexo_cnu,cnu_noc))</f>
        <v>0</v>
      </c>
      <c r="AP62" s="53">
        <f>($A62=Esc_6c!E$9)*Y62/(12*_xlfn.XLOOKUP(AP$15,sexo_cnu,cnu_noc))</f>
        <v>0</v>
      </c>
      <c r="AQ62" s="53">
        <f>($A62=Esc_6c!E$9)*AD62/(12*_xlfn.XLOOKUP(AQ$15,sexo_cnu,cnu_noc))</f>
        <v>0</v>
      </c>
      <c r="AR62" s="53">
        <f>($A62=Esc_6c!E$9)*AE62/(12*_xlfn.XLOOKUP(AR$15,sexo_cnu,cnu_noc))</f>
        <v>0</v>
      </c>
      <c r="AS62" s="53">
        <f>($A62=Esc_6c!D$9)*AF62/(12*_xlfn.XLOOKUP(AS$15,sexo_cnu,cnu_noc))</f>
        <v>0</v>
      </c>
      <c r="AT62" s="53">
        <f>($A62=Esc_6c!E$9)*AG62/(12*_xlfn.XLOOKUP(AT$15,sexo_cnu,cnu_noc))</f>
        <v>0</v>
      </c>
      <c r="AU62" s="39"/>
      <c r="AV62" s="180">
        <v>3.9999999999999994E-2</v>
      </c>
    </row>
    <row r="63" spans="1:48" x14ac:dyDescent="0.25">
      <c r="A63" s="30">
        <v>2028</v>
      </c>
      <c r="B63" s="33">
        <f>w_uf*UF*Parámetros!C50</f>
        <v>903812.98974609352</v>
      </c>
      <c r="C63" s="30">
        <f t="shared" si="15"/>
        <v>49</v>
      </c>
      <c r="D63" s="30">
        <f>((A63=Inputs!$C$12)*(Inputs!$D$12) + (A63=Inputs!$C$13)*(Inputs!$D$13) + (A63=Inputs!$C$14)*(Inputs!$D$14)) *(A63 &gt;= a_afil)*(A63&gt;=2024)</f>
        <v>0</v>
      </c>
      <c r="E63" s="30">
        <f>MIN(1,(A63=Inputs!$C$19)*Inputs!$D$19+(A63=Inputs!$C$20)*Inputs!$D$20+(A63=Inputs!$C$21)*Inputs!$D$21*(A63 &gt;= a_afil))</f>
        <v>0</v>
      </c>
      <c r="F63" s="30">
        <f t="shared" si="16"/>
        <v>1</v>
      </c>
      <c r="G63" s="30">
        <f t="shared" si="17"/>
        <v>1</v>
      </c>
      <c r="H63" s="30">
        <v>0.96536445617675781</v>
      </c>
      <c r="I63" s="37">
        <f t="shared" si="22"/>
        <v>0.57999999999999996</v>
      </c>
      <c r="J63" s="37">
        <f t="shared" si="23"/>
        <v>0.57999999999999996</v>
      </c>
      <c r="K63" s="30">
        <f>1*OR(Inputs!$D$17=$A63,Inputs!$E$17=$A63)*($E63=0)*(F63=1)</f>
        <v>1</v>
      </c>
      <c r="L63" s="30">
        <f>1*OR(Inputs!$D$17=$A63,Inputs!$E$17=$A63)*($E63=0)*(G63=1)</f>
        <v>1</v>
      </c>
      <c r="M63" s="90">
        <f t="shared" si="24"/>
        <v>314526.92043164052</v>
      </c>
      <c r="N63" s="90">
        <f t="shared" si="24"/>
        <v>314526.92043164052</v>
      </c>
      <c r="O63" s="91">
        <f>MIN(Parámetros!$E50, _xlfn.XLOOKUP($A63,agnos,tope_ref_col)*UF)*12*I63*$AV63</f>
        <v>418844.40463596844</v>
      </c>
      <c r="P63" s="91">
        <f>MIN(Parámetros!$E50, _xlfn.XLOOKUP($A63,agnos,tope_ref_col)*UF)*12*J63*$AV63</f>
        <v>418844.40463596844</v>
      </c>
      <c r="Q63" s="70">
        <f t="shared" si="18"/>
        <v>629053.84086328105</v>
      </c>
      <c r="R63" s="70">
        <f t="shared" si="19"/>
        <v>629053.84086328105</v>
      </c>
      <c r="S63" s="68">
        <f t="shared" si="27"/>
        <v>893012.4245186277</v>
      </c>
      <c r="T63" s="68">
        <f t="shared" si="28"/>
        <v>893012.4245186277</v>
      </c>
      <c r="U63" s="38"/>
      <c r="V63" s="55">
        <f>IF($A63&gt;Esc_6c!D$9,0,M63*alpha  +V62*(1+i_noc))</f>
        <v>667066.40351981018</v>
      </c>
      <c r="W63" s="55">
        <f>IF($A63&gt;Esc_6c!E$9,0,N63*alpha  +W62*(1+i_noc))</f>
        <v>667066.40351981018</v>
      </c>
      <c r="X63" s="55">
        <f>IF($A63&gt;Esc_6c!D$9,0,O63*(1-alpha)+X62*(1+i_noc))</f>
        <v>380703.77058183798</v>
      </c>
      <c r="Y63" s="55">
        <f>IF($A63&gt;Esc_6c!E$9,0,P63*(1-alpha)+Y62*(1+i_noc))</f>
        <v>380703.77058183798</v>
      </c>
      <c r="Z63" s="54">
        <f t="shared" si="20"/>
        <v>20110076.189854201</v>
      </c>
      <c r="AA63" s="54">
        <f t="shared" si="21"/>
        <v>20110076.189854201</v>
      </c>
      <c r="AB63" s="55">
        <f t="shared" si="29"/>
        <v>20366581.058121826</v>
      </c>
      <c r="AC63" s="55">
        <f t="shared" si="30"/>
        <v>20366581.058121826</v>
      </c>
      <c r="AD63" s="53">
        <f>D63*mmater*Parámetros!$G50*$W$14+AD62*(1+i_noc)</f>
        <v>0</v>
      </c>
      <c r="AE63" s="53">
        <f>E63*12*Parámetros!$F50*$W$14+AE62*(1+i_noc)</f>
        <v>0</v>
      </c>
      <c r="AF63" s="53">
        <f t="shared" si="25"/>
        <v>132860.50949267577</v>
      </c>
      <c r="AG63" s="53">
        <f t="shared" si="26"/>
        <v>132860.50949267577</v>
      </c>
      <c r="AI63" s="74">
        <f>($A63=Esc_6c!D$9)*Z63/(12*_xlfn.XLOOKUP(AI$15,sexo_cnu,cnu))</f>
        <v>0</v>
      </c>
      <c r="AJ63" s="74">
        <f>($A63=Esc_6c!E$9)*AA63/(12*_xlfn.XLOOKUP(AJ$15,sexo_cnu,cnu))</f>
        <v>0</v>
      </c>
      <c r="AK63" s="74">
        <f>($A63=Esc_6c!D$9)*AB63/(12*_xlfn.XLOOKUP(AK$15,sexo_cnu,cnu))</f>
        <v>0</v>
      </c>
      <c r="AL63" s="74">
        <f>($A63=Esc_6c!E$9)*AC63/(12*_xlfn.XLOOKUP(AL$15,sexo_cnu,cnu))</f>
        <v>0</v>
      </c>
      <c r="AM63" s="53">
        <f>($A63=Esc_6c!D$9)*V63/(12*_xlfn.XLOOKUP(AM$15,sexo_cnu,cnu_noc))</f>
        <v>0</v>
      </c>
      <c r="AN63" s="53">
        <f>($A63=Esc_6c!E$9)*W63/(12*_xlfn.XLOOKUP(AN$15,sexo_cnu,cnu_noc))</f>
        <v>0</v>
      </c>
      <c r="AO63" s="53">
        <f>($A63=Esc_6c!D$9)*X63/(12*_xlfn.XLOOKUP(AO$15,sexo_cnu,cnu_noc))</f>
        <v>0</v>
      </c>
      <c r="AP63" s="53">
        <f>($A63=Esc_6c!E$9)*Y63/(12*_xlfn.XLOOKUP(AP$15,sexo_cnu,cnu_noc))</f>
        <v>0</v>
      </c>
      <c r="AQ63" s="53">
        <f>($A63=Esc_6c!E$9)*AD63/(12*_xlfn.XLOOKUP(AQ$15,sexo_cnu,cnu_noc))</f>
        <v>0</v>
      </c>
      <c r="AR63" s="53">
        <f>($A63=Esc_6c!E$9)*AE63/(12*_xlfn.XLOOKUP(AR$15,sexo_cnu,cnu_noc))</f>
        <v>0</v>
      </c>
      <c r="AS63" s="53">
        <f>($A63=Esc_6c!D$9)*AF63/(12*_xlfn.XLOOKUP(AS$15,sexo_cnu,cnu_noc))</f>
        <v>0</v>
      </c>
      <c r="AT63" s="53">
        <f>($A63=Esc_6c!E$9)*AG63/(12*_xlfn.XLOOKUP(AT$15,sexo_cnu,cnu_noc))</f>
        <v>0</v>
      </c>
      <c r="AU63" s="39"/>
      <c r="AV63" s="180">
        <v>0.05</v>
      </c>
    </row>
    <row r="64" spans="1:48" x14ac:dyDescent="0.25">
      <c r="A64" s="30">
        <v>2029</v>
      </c>
      <c r="B64" s="33">
        <f>w_uf*UF*Parámetros!C51</f>
        <v>915110.65211791953</v>
      </c>
      <c r="C64" s="30">
        <f t="shared" si="15"/>
        <v>50</v>
      </c>
      <c r="D64" s="30">
        <f>((A64=Inputs!$C$12)*(Inputs!$D$12) + (A64=Inputs!$C$13)*(Inputs!$D$13) + (A64=Inputs!$C$14)*(Inputs!$D$14)) *(A64 &gt;= a_afil)*(A64&gt;=2024)</f>
        <v>0</v>
      </c>
      <c r="E64" s="30">
        <f>MIN(1,(A64=Inputs!$C$19)*Inputs!$D$19+(A64=Inputs!$C$20)*Inputs!$D$20+(A64=Inputs!$C$21)*Inputs!$D$21*(A64 &gt;= a_afil))</f>
        <v>0</v>
      </c>
      <c r="F64" s="30">
        <f t="shared" si="16"/>
        <v>1</v>
      </c>
      <c r="G64" s="30">
        <f t="shared" si="17"/>
        <v>1</v>
      </c>
      <c r="H64" s="30">
        <v>0.55750101804733276</v>
      </c>
      <c r="I64" s="37">
        <f t="shared" si="22"/>
        <v>0.57999999999999996</v>
      </c>
      <c r="J64" s="37">
        <f t="shared" si="23"/>
        <v>0.57999999999999996</v>
      </c>
      <c r="K64" s="30">
        <f>1*OR(Inputs!$D$17=$A64,Inputs!$E$17=$A64)*($E64=0)*(F64=1)</f>
        <v>0</v>
      </c>
      <c r="L64" s="30">
        <f>1*OR(Inputs!$D$17=$A64,Inputs!$E$17=$A64)*($E64=0)*(G64=1)</f>
        <v>0</v>
      </c>
      <c r="M64" s="73">
        <f t="shared" ref="M64:M95" si="31">MIN($B64,_xlfn.XLOOKUP($A64,agnos,tope_ref_col)*UF)*12*I64*$N$14</f>
        <v>382150.20832444314</v>
      </c>
      <c r="N64" s="73">
        <f t="shared" ref="N64:N95" si="32">MIN($B64,_xlfn.XLOOKUP($A64,agnos,tope_ref_col)*UF)*12*J64*$N$14</f>
        <v>382150.20832444314</v>
      </c>
      <c r="O64" s="55">
        <f>MIN(Parámetros!$E51, _xlfn.XLOOKUP($A64,agnos,tope_ref_col)*UF)*12*I64*$P$14</f>
        <v>508895.95163270168</v>
      </c>
      <c r="P64" s="55">
        <f>MIN(Parámetros!$E51, _xlfn.XLOOKUP($A64,agnos,tope_ref_col)*UF)*12*J64*$P$14</f>
        <v>508895.95163270168</v>
      </c>
      <c r="Q64" s="70">
        <f t="shared" si="18"/>
        <v>636917.013874072</v>
      </c>
      <c r="R64" s="70">
        <f t="shared" si="19"/>
        <v>636917.013874072</v>
      </c>
      <c r="S64" s="68">
        <f t="shared" si="27"/>
        <v>668762.86456777551</v>
      </c>
      <c r="T64" s="68">
        <f t="shared" si="28"/>
        <v>668762.86456777551</v>
      </c>
      <c r="U64" s="38"/>
      <c r="V64" s="55">
        <f>IF($A64&gt;Esc_6c!D$9,0,M64*alpha  +V63*(1+i_noc))</f>
        <v>947912.87741731654</v>
      </c>
      <c r="W64" s="55">
        <f>IF($A64&gt;Esc_6c!E$9,0,N64*alpha  +W63*(1+i_noc))</f>
        <v>947912.87741731654</v>
      </c>
      <c r="X64" s="55">
        <f>IF($A64&gt;Esc_6c!D$9,0,O64*(1-alpha)+X63*(1+i_noc))</f>
        <v>540986.63148328522</v>
      </c>
      <c r="Y64" s="55">
        <f>IF($A64&gt;Esc_6c!E$9,0,P64*(1-alpha)+Y63*(1+i_noc))</f>
        <v>540986.63148328522</v>
      </c>
      <c r="Z64" s="54">
        <f t="shared" si="20"/>
        <v>21426713.778945345</v>
      </c>
      <c r="AA64" s="54">
        <f t="shared" si="21"/>
        <v>21426713.778945345</v>
      </c>
      <c r="AB64" s="55">
        <f t="shared" si="29"/>
        <v>21696783.998936828</v>
      </c>
      <c r="AC64" s="55">
        <f t="shared" si="30"/>
        <v>21696783.998936828</v>
      </c>
      <c r="AD64" s="53">
        <f>D64*mmater*Parámetros!$G51*$W$14+AD63*(1+i_noc)</f>
        <v>0</v>
      </c>
      <c r="AE64" s="53">
        <f>E64*12*Parámetros!$F51*$W$14+AE63*(1+i_noc)</f>
        <v>0</v>
      </c>
      <c r="AF64" s="53">
        <f t="shared" si="25"/>
        <v>135517.71968252928</v>
      </c>
      <c r="AG64" s="53">
        <f t="shared" si="26"/>
        <v>135517.71968252928</v>
      </c>
      <c r="AI64" s="74">
        <f>($A64=Esc_6c!D$9)*Z64/(12*_xlfn.XLOOKUP(AI$15,sexo_cnu,cnu))</f>
        <v>0</v>
      </c>
      <c r="AJ64" s="74">
        <f>($A64=Esc_6c!E$9)*AA64/(12*_xlfn.XLOOKUP(AJ$15,sexo_cnu,cnu))</f>
        <v>0</v>
      </c>
      <c r="AK64" s="74">
        <f>($A64=Esc_6c!D$9)*AB64/(12*_xlfn.XLOOKUP(AK$15,sexo_cnu,cnu))</f>
        <v>0</v>
      </c>
      <c r="AL64" s="74">
        <f>($A64=Esc_6c!E$9)*AC64/(12*_xlfn.XLOOKUP(AL$15,sexo_cnu,cnu))</f>
        <v>0</v>
      </c>
      <c r="AM64" s="53">
        <f>($A64=Esc_6c!D$9)*V64/(12*_xlfn.XLOOKUP(AM$15,sexo_cnu,cnu_noc))</f>
        <v>0</v>
      </c>
      <c r="AN64" s="53">
        <f>($A64=Esc_6c!E$9)*W64/(12*_xlfn.XLOOKUP(AN$15,sexo_cnu,cnu_noc))</f>
        <v>0</v>
      </c>
      <c r="AO64" s="53">
        <f>($A64=Esc_6c!D$9)*X64/(12*_xlfn.XLOOKUP(AO$15,sexo_cnu,cnu_noc))</f>
        <v>0</v>
      </c>
      <c r="AP64" s="53">
        <f>($A64=Esc_6c!E$9)*Y64/(12*_xlfn.XLOOKUP(AP$15,sexo_cnu,cnu_noc))</f>
        <v>0</v>
      </c>
      <c r="AQ64" s="53">
        <f>($A64=Esc_6c!E$9)*AD64/(12*_xlfn.XLOOKUP(AQ$15,sexo_cnu,cnu_noc))</f>
        <v>0</v>
      </c>
      <c r="AR64" s="53">
        <f>($A64=Esc_6c!E$9)*AE64/(12*_xlfn.XLOOKUP(AR$15,sexo_cnu,cnu_noc))</f>
        <v>0</v>
      </c>
      <c r="AS64" s="53">
        <f>($A64=Esc_6c!D$9)*AF64/(12*_xlfn.XLOOKUP(AS$15,sexo_cnu,cnu_noc))</f>
        <v>0</v>
      </c>
      <c r="AT64" s="53">
        <f>($A64=Esc_6c!E$9)*AG64/(12*_xlfn.XLOOKUP(AT$15,sexo_cnu,cnu_noc))</f>
        <v>0</v>
      </c>
      <c r="AU64" s="39"/>
      <c r="AV64" s="180">
        <v>0.06</v>
      </c>
    </row>
    <row r="65" spans="1:48" x14ac:dyDescent="0.25">
      <c r="A65" s="30">
        <v>2030</v>
      </c>
      <c r="B65" s="33">
        <f>w_uf*UF*Parámetros!C52</f>
        <v>926549.53526939359</v>
      </c>
      <c r="C65" s="30">
        <f t="shared" si="15"/>
        <v>51</v>
      </c>
      <c r="D65" s="30">
        <f>((A65=Inputs!$C$12)*(Inputs!$D$12) + (A65=Inputs!$C$13)*(Inputs!$D$13) + (A65=Inputs!$C$14)*(Inputs!$D$14)) *(A65 &gt;= a_afil)*(A65&gt;=2024)</f>
        <v>0</v>
      </c>
      <c r="E65" s="30">
        <f>MIN(1,(A65=Inputs!$C$19)*Inputs!$D$19+(A65=Inputs!$C$20)*Inputs!$D$20+(A65=Inputs!$C$21)*Inputs!$D$21*(A65 &gt;= a_afil))</f>
        <v>0</v>
      </c>
      <c r="F65" s="30">
        <f t="shared" si="16"/>
        <v>1</v>
      </c>
      <c r="G65" s="30">
        <f t="shared" si="17"/>
        <v>1</v>
      </c>
      <c r="H65" s="30">
        <v>0.90920412540435791</v>
      </c>
      <c r="I65" s="37">
        <f t="shared" si="22"/>
        <v>0.57999999999999996</v>
      </c>
      <c r="J65" s="37">
        <f t="shared" si="23"/>
        <v>0.57999999999999996</v>
      </c>
      <c r="K65" s="30">
        <f>1*OR(Inputs!$D$17=$A65,Inputs!$E$17=$A65)*($E65=0)*(F65=1)</f>
        <v>0</v>
      </c>
      <c r="L65" s="30">
        <f>1*OR(Inputs!$D$17=$A65,Inputs!$E$17=$A65)*($E65=0)*(G65=1)</f>
        <v>0</v>
      </c>
      <c r="M65" s="73">
        <f t="shared" si="31"/>
        <v>386927.08592849871</v>
      </c>
      <c r="N65" s="73">
        <f t="shared" si="32"/>
        <v>386927.08592849871</v>
      </c>
      <c r="O65" s="55">
        <f>MIN(Parámetros!$E52, _xlfn.XLOOKUP($A65,agnos,tope_ref_col)*UF)*12*I65*$P$14</f>
        <v>515257.15102811041</v>
      </c>
      <c r="P65" s="55">
        <f>MIN(Parámetros!$E52, _xlfn.XLOOKUP($A65,agnos,tope_ref_col)*UF)*12*J65*$P$14</f>
        <v>515257.15102811041</v>
      </c>
      <c r="Q65" s="70">
        <f t="shared" si="18"/>
        <v>644878.47654749791</v>
      </c>
      <c r="R65" s="70">
        <f t="shared" si="19"/>
        <v>644878.47654749791</v>
      </c>
      <c r="S65" s="68">
        <f t="shared" si="27"/>
        <v>677122.40037487273</v>
      </c>
      <c r="T65" s="68">
        <f t="shared" si="28"/>
        <v>677122.40037487273</v>
      </c>
      <c r="U65" s="38"/>
      <c r="V65" s="55">
        <f>IF($A65&gt;Esc_6c!D$9,0,M65*alpha  +V64*(1+i_noc))</f>
        <v>1237720.0951156118</v>
      </c>
      <c r="W65" s="55">
        <f>IF($A65&gt;Esc_6c!E$9,0,N65*alpha  +W64*(1+i_noc))</f>
        <v>1237720.0951156118</v>
      </c>
      <c r="X65" s="55">
        <f>IF($A65&gt;Esc_6c!D$9,0,O65*(1-alpha)+X64*(1+i_noc))</f>
        <v>706383.50942138419</v>
      </c>
      <c r="Y65" s="55">
        <f>IF($A65&gt;Esc_6c!E$9,0,P65*(1-alpha)+Y64*(1+i_noc))</f>
        <v>706383.50942138419</v>
      </c>
      <c r="Z65" s="54">
        <f t="shared" si="20"/>
        <v>22795815.181221198</v>
      </c>
      <c r="AA65" s="54">
        <f t="shared" si="21"/>
        <v>22795815.181221198</v>
      </c>
      <c r="AB65" s="55">
        <f t="shared" si="29"/>
        <v>23078547.125294197</v>
      </c>
      <c r="AC65" s="55">
        <f t="shared" si="30"/>
        <v>23078547.125294197</v>
      </c>
      <c r="AD65" s="53">
        <f>D65*mmater*Parámetros!$G52*$W$14+AD64*(1+i_noc)</f>
        <v>0</v>
      </c>
      <c r="AE65" s="53">
        <f>E65*12*Parámetros!$F52*$W$14+AE64*(1+i_noc)</f>
        <v>0</v>
      </c>
      <c r="AF65" s="53">
        <f t="shared" si="25"/>
        <v>138228.07407617985</v>
      </c>
      <c r="AG65" s="53">
        <f t="shared" si="26"/>
        <v>138228.07407617985</v>
      </c>
      <c r="AI65" s="74">
        <f>($A65=Esc_6c!D$9)*Z65/(12*_xlfn.XLOOKUP(AI$15,sexo_cnu,cnu))</f>
        <v>0</v>
      </c>
      <c r="AJ65" s="74">
        <f>($A65=Esc_6c!E$9)*AA65/(12*_xlfn.XLOOKUP(AJ$15,sexo_cnu,cnu))</f>
        <v>0</v>
      </c>
      <c r="AK65" s="74">
        <f>($A65=Esc_6c!D$9)*AB65/(12*_xlfn.XLOOKUP(AK$15,sexo_cnu,cnu))</f>
        <v>0</v>
      </c>
      <c r="AL65" s="74">
        <f>($A65=Esc_6c!E$9)*AC65/(12*_xlfn.XLOOKUP(AL$15,sexo_cnu,cnu))</f>
        <v>0</v>
      </c>
      <c r="AM65" s="53">
        <f>($A65=Esc_6c!D$9)*V65/(12*_xlfn.XLOOKUP(AM$15,sexo_cnu,cnu_noc))</f>
        <v>0</v>
      </c>
      <c r="AN65" s="53">
        <f>($A65=Esc_6c!E$9)*W65/(12*_xlfn.XLOOKUP(AN$15,sexo_cnu,cnu_noc))</f>
        <v>0</v>
      </c>
      <c r="AO65" s="53">
        <f>($A65=Esc_6c!D$9)*X65/(12*_xlfn.XLOOKUP(AO$15,sexo_cnu,cnu_noc))</f>
        <v>0</v>
      </c>
      <c r="AP65" s="53">
        <f>($A65=Esc_6c!E$9)*Y65/(12*_xlfn.XLOOKUP(AP$15,sexo_cnu,cnu_noc))</f>
        <v>0</v>
      </c>
      <c r="AQ65" s="53">
        <f>($A65=Esc_6c!E$9)*AD65/(12*_xlfn.XLOOKUP(AQ$15,sexo_cnu,cnu_noc))</f>
        <v>0</v>
      </c>
      <c r="AR65" s="53">
        <f>($A65=Esc_6c!E$9)*AE65/(12*_xlfn.XLOOKUP(AR$15,sexo_cnu,cnu_noc))</f>
        <v>0</v>
      </c>
      <c r="AS65" s="53">
        <f>($A65=Esc_6c!D$9)*AF65/(12*_xlfn.XLOOKUP(AS$15,sexo_cnu,cnu_noc))</f>
        <v>0</v>
      </c>
      <c r="AT65" s="53">
        <f>($A65=Esc_6c!E$9)*AG65/(12*_xlfn.XLOOKUP(AT$15,sexo_cnu,cnu_noc))</f>
        <v>0</v>
      </c>
      <c r="AU65" s="39"/>
      <c r="AV65" s="39"/>
    </row>
    <row r="66" spans="1:48" x14ac:dyDescent="0.25">
      <c r="A66" s="30">
        <v>2031</v>
      </c>
      <c r="B66" s="33">
        <f>w_uf*UF*Parámetros!C53</f>
        <v>938131.40446026088</v>
      </c>
      <c r="C66" s="30">
        <f t="shared" si="15"/>
        <v>52</v>
      </c>
      <c r="D66" s="30">
        <f>((A66=Inputs!$C$12)*(Inputs!$D$12) + (A66=Inputs!$C$13)*(Inputs!$D$13) + (A66=Inputs!$C$14)*(Inputs!$D$14)) *(A66 &gt;= a_afil)*(A66&gt;=2024)</f>
        <v>0</v>
      </c>
      <c r="E66" s="30">
        <f>MIN(1,(A66=Inputs!$C$19)*Inputs!$D$19+(A66=Inputs!$C$20)*Inputs!$D$20+(A66=Inputs!$C$21)*Inputs!$D$21*(A66 &gt;= a_afil))</f>
        <v>0</v>
      </c>
      <c r="F66" s="30">
        <f t="shared" si="16"/>
        <v>1</v>
      </c>
      <c r="G66" s="30">
        <f t="shared" si="17"/>
        <v>1</v>
      </c>
      <c r="H66" s="30">
        <v>0.65725642442703247</v>
      </c>
      <c r="I66" s="37">
        <f t="shared" si="22"/>
        <v>0.57999999999999996</v>
      </c>
      <c r="J66" s="37">
        <f t="shared" si="23"/>
        <v>0.57999999999999996</v>
      </c>
      <c r="K66" s="30">
        <f>1*OR(Inputs!$D$17=$A66,Inputs!$E$17=$A66)*($E66=0)*(F66=1)</f>
        <v>0</v>
      </c>
      <c r="L66" s="30">
        <f>1*OR(Inputs!$D$17=$A66,Inputs!$E$17=$A66)*($E66=0)*(G66=1)</f>
        <v>0</v>
      </c>
      <c r="M66" s="73">
        <f t="shared" si="31"/>
        <v>391763.67450260493</v>
      </c>
      <c r="N66" s="73">
        <f t="shared" si="32"/>
        <v>391763.67450260493</v>
      </c>
      <c r="O66" s="55">
        <f>MIN(Parámetros!$E53, _xlfn.XLOOKUP($A66,agnos,tope_ref_col)*UF)*12*I66*$P$14</f>
        <v>521697.86541596171</v>
      </c>
      <c r="P66" s="55">
        <f>MIN(Parámetros!$E53, _xlfn.XLOOKUP($A66,agnos,tope_ref_col)*UF)*12*J66*$P$14</f>
        <v>521697.86541596171</v>
      </c>
      <c r="Q66" s="70">
        <f t="shared" si="18"/>
        <v>652939.45750434161</v>
      </c>
      <c r="R66" s="70">
        <f t="shared" si="19"/>
        <v>652939.45750434161</v>
      </c>
      <c r="S66" s="68">
        <f t="shared" si="27"/>
        <v>685586.43037955847</v>
      </c>
      <c r="T66" s="68">
        <f t="shared" si="28"/>
        <v>685586.43037955847</v>
      </c>
      <c r="U66" s="38"/>
      <c r="V66" s="55">
        <f>IF($A66&gt;Esc_6c!D$9,0,M66*alpha  +V65*(1+i_noc))</f>
        <v>1536709.0691697474</v>
      </c>
      <c r="W66" s="55">
        <f>IF($A66&gt;Esc_6c!E$9,0,N66*alpha  +W65*(1+i_noc))</f>
        <v>1536709.0691697474</v>
      </c>
      <c r="X66" s="55">
        <f>IF($A66&gt;Esc_6c!D$9,0,O66*(1-alpha)+X65*(1+i_noc))</f>
        <v>877020.53923460038</v>
      </c>
      <c r="Y66" s="55">
        <f>IF($A66&gt;Esc_6c!E$9,0,P66*(1-alpha)+Y65*(1+i_noc))</f>
        <v>877020.53923460038</v>
      </c>
      <c r="Z66" s="54">
        <f t="shared" si="20"/>
        <v>24219253.191850819</v>
      </c>
      <c r="AA66" s="54">
        <f t="shared" si="21"/>
        <v>24219253.191850819</v>
      </c>
      <c r="AB66" s="55">
        <f t="shared" si="29"/>
        <v>24513649.437925499</v>
      </c>
      <c r="AC66" s="55">
        <f t="shared" si="30"/>
        <v>24513649.437925499</v>
      </c>
      <c r="AD66" s="53">
        <f>D66*mmater*Parámetros!$G53*$W$14+AD65*(1+i_noc)</f>
        <v>0</v>
      </c>
      <c r="AE66" s="53">
        <f>E66*12*Parámetros!$F53*$W$14+AE65*(1+i_noc)</f>
        <v>0</v>
      </c>
      <c r="AF66" s="53">
        <f t="shared" si="25"/>
        <v>140992.63555770344</v>
      </c>
      <c r="AG66" s="53">
        <f t="shared" si="26"/>
        <v>140992.63555770344</v>
      </c>
      <c r="AI66" s="74">
        <f>($A66=Esc_6c!D$9)*Z66/(12*_xlfn.XLOOKUP(AI$15,sexo_cnu,cnu))</f>
        <v>0</v>
      </c>
      <c r="AJ66" s="74">
        <f>($A66=Esc_6c!E$9)*AA66/(12*_xlfn.XLOOKUP(AJ$15,sexo_cnu,cnu))</f>
        <v>0</v>
      </c>
      <c r="AK66" s="74">
        <f>($A66=Esc_6c!D$9)*AB66/(12*_xlfn.XLOOKUP(AK$15,sexo_cnu,cnu))</f>
        <v>0</v>
      </c>
      <c r="AL66" s="74">
        <f>($A66=Esc_6c!E$9)*AC66/(12*_xlfn.XLOOKUP(AL$15,sexo_cnu,cnu))</f>
        <v>0</v>
      </c>
      <c r="AM66" s="53">
        <f>($A66=Esc_6c!D$9)*V66/(12*_xlfn.XLOOKUP(AM$15,sexo_cnu,cnu_noc))</f>
        <v>0</v>
      </c>
      <c r="AN66" s="53">
        <f>($A66=Esc_6c!E$9)*W66/(12*_xlfn.XLOOKUP(AN$15,sexo_cnu,cnu_noc))</f>
        <v>0</v>
      </c>
      <c r="AO66" s="53">
        <f>($A66=Esc_6c!D$9)*X66/(12*_xlfn.XLOOKUP(AO$15,sexo_cnu,cnu_noc))</f>
        <v>0</v>
      </c>
      <c r="AP66" s="53">
        <f>($A66=Esc_6c!E$9)*Y66/(12*_xlfn.XLOOKUP(AP$15,sexo_cnu,cnu_noc))</f>
        <v>0</v>
      </c>
      <c r="AQ66" s="53">
        <f>($A66=Esc_6c!E$9)*AD66/(12*_xlfn.XLOOKUP(AQ$15,sexo_cnu,cnu_noc))</f>
        <v>0</v>
      </c>
      <c r="AR66" s="53">
        <f>($A66=Esc_6c!E$9)*AE66/(12*_xlfn.XLOOKUP(AR$15,sexo_cnu,cnu_noc))</f>
        <v>0</v>
      </c>
      <c r="AS66" s="53">
        <f>($A66=Esc_6c!D$9)*AF66/(12*_xlfn.XLOOKUP(AS$15,sexo_cnu,cnu_noc))</f>
        <v>0</v>
      </c>
      <c r="AT66" s="53">
        <f>($A66=Esc_6c!E$9)*AG66/(12*_xlfn.XLOOKUP(AT$15,sexo_cnu,cnu_noc))</f>
        <v>0</v>
      </c>
      <c r="AU66" s="39"/>
      <c r="AV66" s="39"/>
    </row>
    <row r="67" spans="1:48" x14ac:dyDescent="0.25">
      <c r="A67" s="30">
        <v>2032</v>
      </c>
      <c r="B67" s="33">
        <f>w_uf*UF*Parámetros!C54</f>
        <v>949858.04701601411</v>
      </c>
      <c r="C67" s="30">
        <f t="shared" si="15"/>
        <v>53</v>
      </c>
      <c r="D67" s="30">
        <f>((A67=Inputs!$C$12)*(Inputs!$D$12) + (A67=Inputs!$C$13)*(Inputs!$D$13) + (A67=Inputs!$C$14)*(Inputs!$D$14)) *(A67 &gt;= a_afil)*(A67&gt;=2024)</f>
        <v>0</v>
      </c>
      <c r="E67" s="30">
        <f>MIN(1,(A67=Inputs!$C$19)*Inputs!$D$19+(A67=Inputs!$C$20)*Inputs!$D$20+(A67=Inputs!$C$21)*Inputs!$D$21*(A67 &gt;= a_afil))</f>
        <v>0</v>
      </c>
      <c r="F67" s="30">
        <f t="shared" si="16"/>
        <v>1</v>
      </c>
      <c r="G67" s="30">
        <f t="shared" si="17"/>
        <v>1</v>
      </c>
      <c r="H67" s="30">
        <v>0.44111466407775879</v>
      </c>
      <c r="I67" s="37">
        <f t="shared" si="22"/>
        <v>0.57999999999999996</v>
      </c>
      <c r="J67" s="37">
        <f t="shared" si="23"/>
        <v>0.57999999999999996</v>
      </c>
      <c r="K67" s="30">
        <f>1*OR(Inputs!$D$17=$A67,Inputs!$E$17=$A67)*($E67=0)*(F67=1)</f>
        <v>0</v>
      </c>
      <c r="L67" s="30">
        <f>1*OR(Inputs!$D$17=$A67,Inputs!$E$17=$A67)*($E67=0)*(G67=1)</f>
        <v>0</v>
      </c>
      <c r="M67" s="73">
        <f t="shared" si="31"/>
        <v>396660.72043388744</v>
      </c>
      <c r="N67" s="73">
        <f t="shared" si="32"/>
        <v>396660.72043388744</v>
      </c>
      <c r="O67" s="55">
        <f>MIN(Parámetros!$E54, _xlfn.XLOOKUP($A67,agnos,tope_ref_col)*UF)*12*I67*$P$14</f>
        <v>528219.08873366122</v>
      </c>
      <c r="P67" s="55">
        <f>MIN(Parámetros!$E54, _xlfn.XLOOKUP($A67,agnos,tope_ref_col)*UF)*12*J67*$P$14</f>
        <v>528219.08873366122</v>
      </c>
      <c r="Q67" s="70">
        <f t="shared" si="18"/>
        <v>661101.20072314574</v>
      </c>
      <c r="R67" s="70">
        <f t="shared" si="19"/>
        <v>661101.20072314574</v>
      </c>
      <c r="S67" s="68">
        <f t="shared" si="27"/>
        <v>694156.260759303</v>
      </c>
      <c r="T67" s="68">
        <f t="shared" si="28"/>
        <v>694156.260759303</v>
      </c>
      <c r="U67" s="38"/>
      <c r="V67" s="55">
        <f>IF($A67&gt;Esc_6c!D$9,0,M67*alpha  +V66*(1+i_noc))</f>
        <v>1845105.7548568635</v>
      </c>
      <c r="W67" s="55">
        <f>IF($A67&gt;Esc_6c!E$9,0,N67*alpha  +W66*(1+i_noc))</f>
        <v>1845105.7548568635</v>
      </c>
      <c r="X67" s="55">
        <f>IF($A67&gt;Esc_6c!D$9,0,O67*(1-alpha)+X66*(1+i_noc))</f>
        <v>1053026.6766393909</v>
      </c>
      <c r="Y67" s="55">
        <f>IF($A67&gt;Esc_6c!E$9,0,P67*(1-alpha)+Y66*(1+i_noc))</f>
        <v>1053026.6766393909</v>
      </c>
      <c r="Z67" s="54">
        <f t="shared" si="20"/>
        <v>25698965.150458522</v>
      </c>
      <c r="AA67" s="54">
        <f t="shared" si="21"/>
        <v>25698965.150458522</v>
      </c>
      <c r="AB67" s="55">
        <f t="shared" si="29"/>
        <v>26003929.01987686</v>
      </c>
      <c r="AC67" s="55">
        <f t="shared" si="30"/>
        <v>26003929.01987686</v>
      </c>
      <c r="AD67" s="53">
        <f>D67*mmater*Parámetros!$G54*$W$14+AD66*(1+i_noc)</f>
        <v>0</v>
      </c>
      <c r="AE67" s="53">
        <f>E67*12*Parámetros!$F54*$W$14+AE66*(1+i_noc)</f>
        <v>0</v>
      </c>
      <c r="AF67" s="53">
        <f t="shared" si="25"/>
        <v>143812.4882688575</v>
      </c>
      <c r="AG67" s="53">
        <f t="shared" si="26"/>
        <v>143812.4882688575</v>
      </c>
      <c r="AI67" s="74">
        <f>($A67=Esc_6c!D$9)*Z67/(12*_xlfn.XLOOKUP(AI$15,sexo_cnu,cnu))</f>
        <v>0</v>
      </c>
      <c r="AJ67" s="74">
        <f>($A67=Esc_6c!E$9)*AA67/(12*_xlfn.XLOOKUP(AJ$15,sexo_cnu,cnu))</f>
        <v>0</v>
      </c>
      <c r="AK67" s="74">
        <f>($A67=Esc_6c!D$9)*AB67/(12*_xlfn.XLOOKUP(AK$15,sexo_cnu,cnu))</f>
        <v>0</v>
      </c>
      <c r="AL67" s="74">
        <f>($A67=Esc_6c!E$9)*AC67/(12*_xlfn.XLOOKUP(AL$15,sexo_cnu,cnu))</f>
        <v>0</v>
      </c>
      <c r="AM67" s="53">
        <f>($A67=Esc_6c!D$9)*V67/(12*_xlfn.XLOOKUP(AM$15,sexo_cnu,cnu_noc))</f>
        <v>0</v>
      </c>
      <c r="AN67" s="53">
        <f>($A67=Esc_6c!E$9)*W67/(12*_xlfn.XLOOKUP(AN$15,sexo_cnu,cnu_noc))</f>
        <v>0</v>
      </c>
      <c r="AO67" s="53">
        <f>($A67=Esc_6c!D$9)*X67/(12*_xlfn.XLOOKUP(AO$15,sexo_cnu,cnu_noc))</f>
        <v>0</v>
      </c>
      <c r="AP67" s="53">
        <f>($A67=Esc_6c!E$9)*Y67/(12*_xlfn.XLOOKUP(AP$15,sexo_cnu,cnu_noc))</f>
        <v>0</v>
      </c>
      <c r="AQ67" s="53">
        <f>($A67=Esc_6c!E$9)*AD67/(12*_xlfn.XLOOKUP(AQ$15,sexo_cnu,cnu_noc))</f>
        <v>0</v>
      </c>
      <c r="AR67" s="53">
        <f>($A67=Esc_6c!E$9)*AE67/(12*_xlfn.XLOOKUP(AR$15,sexo_cnu,cnu_noc))</f>
        <v>0</v>
      </c>
      <c r="AS67" s="53">
        <f>($A67=Esc_6c!D$9)*AF67/(12*_xlfn.XLOOKUP(AS$15,sexo_cnu,cnu_noc))</f>
        <v>0</v>
      </c>
      <c r="AT67" s="53">
        <f>($A67=Esc_6c!E$9)*AG67/(12*_xlfn.XLOOKUP(AT$15,sexo_cnu,cnu_noc))</f>
        <v>0</v>
      </c>
      <c r="AU67" s="39"/>
      <c r="AV67" s="39"/>
    </row>
    <row r="68" spans="1:48" x14ac:dyDescent="0.25">
      <c r="A68" s="30">
        <v>2033</v>
      </c>
      <c r="B68" s="33">
        <f>w_uf*UF*Parámetros!C55</f>
        <v>961731.27260371426</v>
      </c>
      <c r="C68" s="30">
        <f t="shared" si="15"/>
        <v>54</v>
      </c>
      <c r="D68" s="30">
        <f>((A68=Inputs!$C$12)*(Inputs!$D$12) + (A68=Inputs!$C$13)*(Inputs!$D$13) + (A68=Inputs!$C$14)*(Inputs!$D$14)) *(A68 &gt;= a_afil)*(A68&gt;=2024)</f>
        <v>0</v>
      </c>
      <c r="E68" s="30">
        <f>MIN(1,(A68=Inputs!$C$19)*Inputs!$D$19+(A68=Inputs!$C$20)*Inputs!$D$20+(A68=Inputs!$C$21)*Inputs!$D$21*(A68 &gt;= a_afil))</f>
        <v>1</v>
      </c>
      <c r="F68" s="30">
        <f t="shared" si="16"/>
        <v>1</v>
      </c>
      <c r="G68" s="30">
        <f t="shared" si="17"/>
        <v>1</v>
      </c>
      <c r="H68" s="30">
        <v>0.69299453496932983</v>
      </c>
      <c r="I68" s="37">
        <f t="shared" si="22"/>
        <v>0.57999999999999996</v>
      </c>
      <c r="J68" s="37">
        <f t="shared" si="23"/>
        <v>0.57999999999999996</v>
      </c>
      <c r="K68" s="30">
        <f>1*OR(Inputs!$D$17=$A68,Inputs!$E$17=$A68)*($E68=0)*(F68=1)</f>
        <v>0</v>
      </c>
      <c r="L68" s="30">
        <f>1*OR(Inputs!$D$17=$A68,Inputs!$E$17=$A68)*($E68=0)*(G68=1)</f>
        <v>0</v>
      </c>
      <c r="M68" s="73">
        <f t="shared" si="31"/>
        <v>401618.97943931102</v>
      </c>
      <c r="N68" s="73">
        <f t="shared" si="32"/>
        <v>401618.97943931102</v>
      </c>
      <c r="O68" s="55">
        <f>MIN(Parámetros!$E55, _xlfn.XLOOKUP($A68,agnos,tope_ref_col)*UF)*12*I68*$P$14</f>
        <v>534821.827342832</v>
      </c>
      <c r="P68" s="55">
        <f>MIN(Parámetros!$E55, _xlfn.XLOOKUP($A68,agnos,tope_ref_col)*UF)*12*J68*$P$14</f>
        <v>534821.827342832</v>
      </c>
      <c r="Q68" s="70">
        <f t="shared" si="18"/>
        <v>669364.96573218517</v>
      </c>
      <c r="R68" s="70">
        <f t="shared" si="19"/>
        <v>669364.96573218517</v>
      </c>
      <c r="S68" s="68">
        <f t="shared" si="27"/>
        <v>702833.21401879436</v>
      </c>
      <c r="T68" s="68">
        <f t="shared" si="28"/>
        <v>702833.21401879436</v>
      </c>
      <c r="U68" s="38"/>
      <c r="V68" s="55">
        <f>IF($A68&gt;Esc_6c!D$9,0,M68*alpha  +V67*(1+i_noc))</f>
        <v>2163141.1555615189</v>
      </c>
      <c r="W68" s="55">
        <f>IF($A68&gt;Esc_6c!E$9,0,N68*alpha  +W67*(1+i_noc))</f>
        <v>2163141.1555615189</v>
      </c>
      <c r="X68" s="55">
        <f>IF($A68&gt;Esc_6c!D$9,0,O68*(1-alpha)+X67*(1+i_noc))</f>
        <v>1234533.7583750284</v>
      </c>
      <c r="Y68" s="55">
        <f>IF($A68&gt;Esc_6c!E$9,0,P68*(1-alpha)+Y67*(1+i_noc))</f>
        <v>1234533.7583750284</v>
      </c>
      <c r="Z68" s="54">
        <f t="shared" si="20"/>
        <v>27236955.138276204</v>
      </c>
      <c r="AA68" s="54">
        <f t="shared" si="21"/>
        <v>27236955.138276204</v>
      </c>
      <c r="AB68" s="55">
        <f t="shared" si="29"/>
        <v>27551284.971636936</v>
      </c>
      <c r="AC68" s="55">
        <f t="shared" si="30"/>
        <v>27551284.971636936</v>
      </c>
      <c r="AD68" s="53">
        <f>D68*mmater*Parámetros!$G55*$W$14+AD67*(1+i_noc)</f>
        <v>0</v>
      </c>
      <c r="AE68" s="53">
        <f>E68*12*Parámetros!$F55*$W$14+AE67*(1+i_noc)</f>
        <v>692197.28585196345</v>
      </c>
      <c r="AF68" s="53">
        <f t="shared" si="25"/>
        <v>146688.73803423464</v>
      </c>
      <c r="AG68" s="53">
        <f t="shared" si="26"/>
        <v>146688.73803423464</v>
      </c>
      <c r="AI68" s="74">
        <f>($A68=Esc_6c!D$9)*Z68/(12*_xlfn.XLOOKUP(AI$15,sexo_cnu,cnu))</f>
        <v>0</v>
      </c>
      <c r="AJ68" s="74">
        <f>($A68=Esc_6c!E$9)*AA68/(12*_xlfn.XLOOKUP(AJ$15,sexo_cnu,cnu))</f>
        <v>0</v>
      </c>
      <c r="AK68" s="74">
        <f>($A68=Esc_6c!D$9)*AB68/(12*_xlfn.XLOOKUP(AK$15,sexo_cnu,cnu))</f>
        <v>0</v>
      </c>
      <c r="AL68" s="74">
        <f>($A68=Esc_6c!E$9)*AC68/(12*_xlfn.XLOOKUP(AL$15,sexo_cnu,cnu))</f>
        <v>0</v>
      </c>
      <c r="AM68" s="53">
        <f>($A68=Esc_6c!D$9)*V68/(12*_xlfn.XLOOKUP(AM$15,sexo_cnu,cnu_noc))</f>
        <v>0</v>
      </c>
      <c r="AN68" s="53">
        <f>($A68=Esc_6c!E$9)*W68/(12*_xlfn.XLOOKUP(AN$15,sexo_cnu,cnu_noc))</f>
        <v>0</v>
      </c>
      <c r="AO68" s="53">
        <f>($A68=Esc_6c!D$9)*X68/(12*_xlfn.XLOOKUP(AO$15,sexo_cnu,cnu_noc))</f>
        <v>0</v>
      </c>
      <c r="AP68" s="53">
        <f>($A68=Esc_6c!E$9)*Y68/(12*_xlfn.XLOOKUP(AP$15,sexo_cnu,cnu_noc))</f>
        <v>0</v>
      </c>
      <c r="AQ68" s="53">
        <f>($A68=Esc_6c!E$9)*AD68/(12*_xlfn.XLOOKUP(AQ$15,sexo_cnu,cnu_noc))</f>
        <v>0</v>
      </c>
      <c r="AR68" s="53">
        <f>($A68=Esc_6c!E$9)*AE68/(12*_xlfn.XLOOKUP(AR$15,sexo_cnu,cnu_noc))</f>
        <v>0</v>
      </c>
      <c r="AS68" s="53">
        <f>($A68=Esc_6c!D$9)*AF68/(12*_xlfn.XLOOKUP(AS$15,sexo_cnu,cnu_noc))</f>
        <v>0</v>
      </c>
      <c r="AT68" s="53">
        <f>($A68=Esc_6c!E$9)*AG68/(12*_xlfn.XLOOKUP(AT$15,sexo_cnu,cnu_noc))</f>
        <v>0</v>
      </c>
      <c r="AU68" s="39"/>
      <c r="AV68" s="39"/>
    </row>
    <row r="69" spans="1:48" x14ac:dyDescent="0.25">
      <c r="A69" s="30">
        <v>2034</v>
      </c>
      <c r="B69" s="33">
        <f>w_uf*UF*Parámetros!C56</f>
        <v>973752.91351126065</v>
      </c>
      <c r="C69" s="30">
        <f t="shared" si="15"/>
        <v>55</v>
      </c>
      <c r="D69" s="30">
        <f>((A69=Inputs!$C$12)*(Inputs!$D$12) + (A69=Inputs!$C$13)*(Inputs!$D$13) + (A69=Inputs!$C$14)*(Inputs!$D$14)) *(A69 &gt;= a_afil)*(A69&gt;=2024)</f>
        <v>0</v>
      </c>
      <c r="E69" s="30">
        <f>MIN(1,(A69=Inputs!$C$19)*Inputs!$D$19+(A69=Inputs!$C$20)*Inputs!$D$20+(A69=Inputs!$C$21)*Inputs!$D$21*(A69 &gt;= a_afil))</f>
        <v>1</v>
      </c>
      <c r="F69" s="30">
        <f t="shared" si="16"/>
        <v>1</v>
      </c>
      <c r="G69" s="30">
        <f t="shared" si="17"/>
        <v>1</v>
      </c>
      <c r="H69" s="30">
        <v>6.4491152763366699E-2</v>
      </c>
      <c r="I69" s="37">
        <f t="shared" si="22"/>
        <v>0.57999999999999996</v>
      </c>
      <c r="J69" s="37">
        <f t="shared" si="23"/>
        <v>0.57999999999999996</v>
      </c>
      <c r="K69" s="30">
        <f>1*OR(Inputs!$D$17=$A69,Inputs!$E$17=$A69)*($E69=0)*(F69=1)</f>
        <v>0</v>
      </c>
      <c r="L69" s="30">
        <f>1*OR(Inputs!$D$17=$A69,Inputs!$E$17=$A69)*($E69=0)*(G69=1)</f>
        <v>0</v>
      </c>
      <c r="M69" s="73">
        <f t="shared" si="31"/>
        <v>406639.21668230242</v>
      </c>
      <c r="N69" s="73">
        <f t="shared" si="32"/>
        <v>406639.21668230242</v>
      </c>
      <c r="O69" s="55">
        <f>MIN(Parámetros!$E56, _xlfn.XLOOKUP($A69,agnos,tope_ref_col)*UF)*12*I69*$P$14</f>
        <v>541507.10018461733</v>
      </c>
      <c r="P69" s="55">
        <f>MIN(Parámetros!$E56, _xlfn.XLOOKUP($A69,agnos,tope_ref_col)*UF)*12*J69*$P$14</f>
        <v>541507.10018461733</v>
      </c>
      <c r="Q69" s="70">
        <f t="shared" si="18"/>
        <v>677732.02780383744</v>
      </c>
      <c r="R69" s="70">
        <f t="shared" si="19"/>
        <v>677732.02780383744</v>
      </c>
      <c r="S69" s="68">
        <f t="shared" si="27"/>
        <v>711618.62919402914</v>
      </c>
      <c r="T69" s="68">
        <f t="shared" si="28"/>
        <v>711618.62919402914</v>
      </c>
      <c r="U69" s="38"/>
      <c r="V69" s="55">
        <f>IF($A69&gt;Esc_6c!D$9,0,M69*alpha  +V68*(1+i_noc))</f>
        <v>2491051.4303503609</v>
      </c>
      <c r="W69" s="55">
        <f>IF($A69&gt;Esc_6c!E$9,0,N69*alpha  +W68*(1+i_noc))</f>
        <v>2491051.4303503609</v>
      </c>
      <c r="X69" s="55">
        <f>IF($A69&gt;Esc_6c!D$9,0,O69*(1-alpha)+X68*(1+i_noc))</f>
        <v>1421676.5635979141</v>
      </c>
      <c r="Y69" s="55">
        <f>IF($A69&gt;Esc_6c!E$9,0,P69*(1-alpha)+Y68*(1+i_noc))</f>
        <v>1421676.5635979141</v>
      </c>
      <c r="Z69" s="54">
        <f t="shared" si="20"/>
        <v>28835296.249753781</v>
      </c>
      <c r="AA69" s="54">
        <f t="shared" si="21"/>
        <v>28835296.249753781</v>
      </c>
      <c r="AB69" s="55">
        <f t="shared" si="29"/>
        <v>29157679.409315586</v>
      </c>
      <c r="AC69" s="55">
        <f t="shared" si="30"/>
        <v>29157679.409315586</v>
      </c>
      <c r="AD69" s="53">
        <f>D69*mmater*Parámetros!$G56*$W$14+AD68*(1+i_noc)</f>
        <v>0</v>
      </c>
      <c r="AE69" s="53">
        <f>E69*12*Parámetros!$F56*$W$14+AE68*(1+i_noc)</f>
        <v>1406890.9834941155</v>
      </c>
      <c r="AF69" s="53">
        <f t="shared" si="25"/>
        <v>149622.51279491934</v>
      </c>
      <c r="AG69" s="53">
        <f t="shared" si="26"/>
        <v>149622.51279491934</v>
      </c>
      <c r="AI69" s="74">
        <f>($A69=Esc_6c!D$9)*Z69/(12*_xlfn.XLOOKUP(AI$15,sexo_cnu,cnu))</f>
        <v>0</v>
      </c>
      <c r="AJ69" s="74">
        <f>($A69=Esc_6c!E$9)*AA69/(12*_xlfn.XLOOKUP(AJ$15,sexo_cnu,cnu))</f>
        <v>0</v>
      </c>
      <c r="AK69" s="74">
        <f>($A69=Esc_6c!D$9)*AB69/(12*_xlfn.XLOOKUP(AK$15,sexo_cnu,cnu))</f>
        <v>0</v>
      </c>
      <c r="AL69" s="74">
        <f>($A69=Esc_6c!E$9)*AC69/(12*_xlfn.XLOOKUP(AL$15,sexo_cnu,cnu))</f>
        <v>0</v>
      </c>
      <c r="AM69" s="53">
        <f>($A69=Esc_6c!D$9)*V69/(12*_xlfn.XLOOKUP(AM$15,sexo_cnu,cnu_noc))</f>
        <v>0</v>
      </c>
      <c r="AN69" s="53">
        <f>($A69=Esc_6c!E$9)*W69/(12*_xlfn.XLOOKUP(AN$15,sexo_cnu,cnu_noc))</f>
        <v>0</v>
      </c>
      <c r="AO69" s="53">
        <f>($A69=Esc_6c!D$9)*X69/(12*_xlfn.XLOOKUP(AO$15,sexo_cnu,cnu_noc))</f>
        <v>0</v>
      </c>
      <c r="AP69" s="53">
        <f>($A69=Esc_6c!E$9)*Y69/(12*_xlfn.XLOOKUP(AP$15,sexo_cnu,cnu_noc))</f>
        <v>0</v>
      </c>
      <c r="AQ69" s="53">
        <f>($A69=Esc_6c!E$9)*AD69/(12*_xlfn.XLOOKUP(AQ$15,sexo_cnu,cnu_noc))</f>
        <v>0</v>
      </c>
      <c r="AR69" s="53">
        <f>($A69=Esc_6c!E$9)*AE69/(12*_xlfn.XLOOKUP(AR$15,sexo_cnu,cnu_noc))</f>
        <v>0</v>
      </c>
      <c r="AS69" s="53">
        <f>($A69=Esc_6c!D$9)*AF69/(12*_xlfn.XLOOKUP(AS$15,sexo_cnu,cnu_noc))</f>
        <v>0</v>
      </c>
      <c r="AT69" s="53">
        <f>($A69=Esc_6c!E$9)*AG69/(12*_xlfn.XLOOKUP(AT$15,sexo_cnu,cnu_noc))</f>
        <v>0</v>
      </c>
      <c r="AU69" s="39"/>
      <c r="AV69" s="39"/>
    </row>
    <row r="70" spans="1:48" x14ac:dyDescent="0.25">
      <c r="A70" s="30">
        <v>2035</v>
      </c>
      <c r="B70" s="33">
        <f>w_uf*UF*Parámetros!C57</f>
        <v>985924.82493015134</v>
      </c>
      <c r="C70" s="30">
        <f t="shared" si="15"/>
        <v>56</v>
      </c>
      <c r="D70" s="30">
        <f>((A70=Inputs!$C$12)*(Inputs!$D$12) + (A70=Inputs!$C$13)*(Inputs!$D$13) + (A70=Inputs!$C$14)*(Inputs!$D$14)) *(A70 &gt;= a_afil)*(A70&gt;=2024)</f>
        <v>0</v>
      </c>
      <c r="E70" s="30">
        <f>MIN(1,(A70=Inputs!$C$19)*Inputs!$D$19+(A70=Inputs!$C$20)*Inputs!$D$20+(A70=Inputs!$C$21)*Inputs!$D$21*(A70 &gt;= a_afil))</f>
        <v>0</v>
      </c>
      <c r="F70" s="30">
        <f t="shared" si="16"/>
        <v>1</v>
      </c>
      <c r="G70" s="30">
        <f t="shared" si="17"/>
        <v>1</v>
      </c>
      <c r="H70" s="30">
        <v>0.7560926079750061</v>
      </c>
      <c r="I70" s="37">
        <f t="shared" si="22"/>
        <v>0.57999999999999996</v>
      </c>
      <c r="J70" s="37">
        <f t="shared" si="23"/>
        <v>0.57999999999999996</v>
      </c>
      <c r="K70" s="30">
        <f>1*OR(Inputs!$D$17=$A70,Inputs!$E$17=$A70)*($E70=0)*(F70=1)</f>
        <v>0</v>
      </c>
      <c r="L70" s="30">
        <f>1*OR(Inputs!$D$17=$A70,Inputs!$E$17=$A70)*($E70=0)*(G70=1)</f>
        <v>0</v>
      </c>
      <c r="M70" s="73">
        <f t="shared" si="31"/>
        <v>411722.20689083118</v>
      </c>
      <c r="N70" s="73">
        <f t="shared" si="32"/>
        <v>411722.20689083118</v>
      </c>
      <c r="O70" s="55">
        <f>MIN(Parámetros!$E57, _xlfn.XLOOKUP($A70,agnos,tope_ref_col)*UF)*12*I70*$P$14</f>
        <v>548275.93893692503</v>
      </c>
      <c r="P70" s="55">
        <f>MIN(Parámetros!$E57, _xlfn.XLOOKUP($A70,agnos,tope_ref_col)*UF)*12*J70*$P$14</f>
        <v>548275.93893692503</v>
      </c>
      <c r="Q70" s="70">
        <f t="shared" si="18"/>
        <v>686203.67815138539</v>
      </c>
      <c r="R70" s="70">
        <f t="shared" si="19"/>
        <v>686203.67815138539</v>
      </c>
      <c r="S70" s="68">
        <f t="shared" si="27"/>
        <v>720513.86205895443</v>
      </c>
      <c r="T70" s="68">
        <f t="shared" si="28"/>
        <v>720513.86205895443</v>
      </c>
      <c r="U70" s="38"/>
      <c r="V70" s="55">
        <f>IF($A70&gt;Esc_6c!D$9,0,M70*alpha  +V69*(1+i_noc))</f>
        <v>2829078.0037809499</v>
      </c>
      <c r="W70" s="55">
        <f>IF($A70&gt;Esc_6c!E$9,0,N70*alpha  +W69*(1+i_noc))</f>
        <v>2829078.0037809499</v>
      </c>
      <c r="X70" s="55">
        <f>IF($A70&gt;Esc_6c!D$9,0,O70*(1-alpha)+X69*(1+i_noc))</f>
        <v>1614592.8765509499</v>
      </c>
      <c r="Y70" s="55">
        <f>IF($A70&gt;Esc_6c!E$9,0,P70*(1-alpha)+Y69*(1+i_noc))</f>
        <v>1614592.8765509499</v>
      </c>
      <c r="Z70" s="54">
        <f t="shared" si="20"/>
        <v>30496132.941146843</v>
      </c>
      <c r="AA70" s="54">
        <f t="shared" si="21"/>
        <v>30496132.941146843</v>
      </c>
      <c r="AB70" s="55">
        <f t="shared" si="29"/>
        <v>30825139.527923524</v>
      </c>
      <c r="AC70" s="55">
        <f t="shared" si="30"/>
        <v>30825139.527923524</v>
      </c>
      <c r="AD70" s="53">
        <f>D70*mmater*Parámetros!$G57*$W$14+AD69*(1+i_noc)</f>
        <v>0</v>
      </c>
      <c r="AE70" s="53">
        <f>E70*12*Parámetros!$F57*$W$14+AE69*(1+i_noc)</f>
        <v>1435028.8031639978</v>
      </c>
      <c r="AF70" s="53">
        <f t="shared" si="25"/>
        <v>152614.96305081772</v>
      </c>
      <c r="AG70" s="53">
        <f t="shared" si="26"/>
        <v>152614.96305081772</v>
      </c>
      <c r="AI70" s="74">
        <f>($A70=Esc_6c!D$9)*Z70/(12*_xlfn.XLOOKUP(AI$15,sexo_cnu,cnu))</f>
        <v>0</v>
      </c>
      <c r="AJ70" s="74">
        <f>($A70=Esc_6c!E$9)*AA70/(12*_xlfn.XLOOKUP(AJ$15,sexo_cnu,cnu))</f>
        <v>0</v>
      </c>
      <c r="AK70" s="74">
        <f>($A70=Esc_6c!D$9)*AB70/(12*_xlfn.XLOOKUP(AK$15,sexo_cnu,cnu))</f>
        <v>0</v>
      </c>
      <c r="AL70" s="74">
        <f>($A70=Esc_6c!E$9)*AC70/(12*_xlfn.XLOOKUP(AL$15,sexo_cnu,cnu))</f>
        <v>0</v>
      </c>
      <c r="AM70" s="53">
        <f>($A70=Esc_6c!D$9)*V70/(12*_xlfn.XLOOKUP(AM$15,sexo_cnu,cnu_noc))</f>
        <v>0</v>
      </c>
      <c r="AN70" s="53">
        <f>($A70=Esc_6c!E$9)*W70/(12*_xlfn.XLOOKUP(AN$15,sexo_cnu,cnu_noc))</f>
        <v>0</v>
      </c>
      <c r="AO70" s="53">
        <f>($A70=Esc_6c!D$9)*X70/(12*_xlfn.XLOOKUP(AO$15,sexo_cnu,cnu_noc))</f>
        <v>0</v>
      </c>
      <c r="AP70" s="53">
        <f>($A70=Esc_6c!E$9)*Y70/(12*_xlfn.XLOOKUP(AP$15,sexo_cnu,cnu_noc))</f>
        <v>0</v>
      </c>
      <c r="AQ70" s="53">
        <f>($A70=Esc_6c!E$9)*AD70/(12*_xlfn.XLOOKUP(AQ$15,sexo_cnu,cnu_noc))</f>
        <v>0</v>
      </c>
      <c r="AR70" s="53">
        <f>($A70=Esc_6c!E$9)*AE70/(12*_xlfn.XLOOKUP(AR$15,sexo_cnu,cnu_noc))</f>
        <v>0</v>
      </c>
      <c r="AS70" s="53">
        <f>($A70=Esc_6c!D$9)*AF70/(12*_xlfn.XLOOKUP(AS$15,sexo_cnu,cnu_noc))</f>
        <v>0</v>
      </c>
      <c r="AT70" s="53">
        <f>($A70=Esc_6c!E$9)*AG70/(12*_xlfn.XLOOKUP(AT$15,sexo_cnu,cnu_noc))</f>
        <v>0</v>
      </c>
      <c r="AU70" s="39"/>
      <c r="AV70" s="39"/>
    </row>
    <row r="71" spans="1:48" x14ac:dyDescent="0.25">
      <c r="A71" s="30">
        <v>2036</v>
      </c>
      <c r="B71" s="33">
        <f>w_uf*UF*Parámetros!C58</f>
        <v>998248.88524177822</v>
      </c>
      <c r="C71" s="30">
        <f t="shared" si="15"/>
        <v>57</v>
      </c>
      <c r="D71" s="30">
        <f>((A71=Inputs!$C$12)*(Inputs!$D$12) + (A71=Inputs!$C$13)*(Inputs!$D$13) + (A71=Inputs!$C$14)*(Inputs!$D$14)) *(A71 &gt;= a_afil)*(A71&gt;=2024)</f>
        <v>0</v>
      </c>
      <c r="E71" s="30">
        <f>MIN(1,(A71=Inputs!$C$19)*Inputs!$D$19+(A71=Inputs!$C$20)*Inputs!$D$20+(A71=Inputs!$C$21)*Inputs!$D$21*(A71 &gt;= a_afil))</f>
        <v>0</v>
      </c>
      <c r="F71" s="30">
        <f t="shared" si="16"/>
        <v>1</v>
      </c>
      <c r="G71" s="30">
        <f t="shared" si="17"/>
        <v>1</v>
      </c>
      <c r="H71" s="30">
        <v>0.70051431655883789</v>
      </c>
      <c r="I71" s="37">
        <f t="shared" si="22"/>
        <v>0.57999999999999996</v>
      </c>
      <c r="J71" s="37">
        <f t="shared" si="23"/>
        <v>0.57999999999999996</v>
      </c>
      <c r="K71" s="30">
        <f>1*OR(Inputs!$D$17=$A71,Inputs!$E$17=$A71)*($E71=0)*(F71=1)</f>
        <v>0</v>
      </c>
      <c r="L71" s="30">
        <f>1*OR(Inputs!$D$17=$A71,Inputs!$E$17=$A71)*($E71=0)*(G71=1)</f>
        <v>0</v>
      </c>
      <c r="M71" s="73">
        <f t="shared" si="31"/>
        <v>416868.73447696655</v>
      </c>
      <c r="N71" s="73">
        <f t="shared" si="32"/>
        <v>416868.73447696655</v>
      </c>
      <c r="O71" s="55">
        <f>MIN(Parámetros!$E58, _xlfn.XLOOKUP($A71,agnos,tope_ref_col)*UF)*12*I71*$P$14</f>
        <v>555129.38817363675</v>
      </c>
      <c r="P71" s="55">
        <f>MIN(Parámetros!$E58, _xlfn.XLOOKUP($A71,agnos,tope_ref_col)*UF)*12*J71*$P$14</f>
        <v>555129.38817363675</v>
      </c>
      <c r="Q71" s="70">
        <f t="shared" si="18"/>
        <v>694781.22412827762</v>
      </c>
      <c r="R71" s="70">
        <f t="shared" si="19"/>
        <v>694781.22412827762</v>
      </c>
      <c r="S71" s="68">
        <f t="shared" si="27"/>
        <v>729520.28533469141</v>
      </c>
      <c r="T71" s="68">
        <f t="shared" si="28"/>
        <v>729520.28533469141</v>
      </c>
      <c r="U71" s="38"/>
      <c r="V71" s="55">
        <f>IF($A71&gt;Esc_6c!D$9,0,M71*alpha  +V70*(1+i_noc))</f>
        <v>3177467.6779904459</v>
      </c>
      <c r="W71" s="55">
        <f>IF($A71&gt;Esc_6c!E$9,0,N71*alpha  +W70*(1+i_noc))</f>
        <v>3177467.6779904459</v>
      </c>
      <c r="X71" s="55">
        <f>IF($A71&gt;Esc_6c!D$9,0,O71*(1-alpha)+X70*(1+i_noc))</f>
        <v>1813423.55053406</v>
      </c>
      <c r="Y71" s="55">
        <f>IF($A71&gt;Esc_6c!E$9,0,P71*(1-alpha)+Y70*(1+i_noc))</f>
        <v>1813423.55053406</v>
      </c>
      <c r="Z71" s="54">
        <f t="shared" si="20"/>
        <v>32221683.458685882</v>
      </c>
      <c r="AA71" s="54">
        <f t="shared" si="21"/>
        <v>32221683.458685882</v>
      </c>
      <c r="AB71" s="55">
        <f t="shared" si="29"/>
        <v>32555759.731869753</v>
      </c>
      <c r="AC71" s="55">
        <f t="shared" si="30"/>
        <v>32555759.731869753</v>
      </c>
      <c r="AD71" s="53">
        <f>D71*mmater*Parámetros!$G58*$W$14+AD70*(1+i_noc)</f>
        <v>0</v>
      </c>
      <c r="AE71" s="53">
        <f>E71*12*Parámetros!$F58*$W$14+AE70*(1+i_noc)</f>
        <v>1463729.3792272778</v>
      </c>
      <c r="AF71" s="53">
        <f t="shared" si="25"/>
        <v>155667.26231183409</v>
      </c>
      <c r="AG71" s="53">
        <f t="shared" si="26"/>
        <v>155667.26231183409</v>
      </c>
      <c r="AI71" s="74">
        <f>($A71=Esc_6c!D$9)*Z71/(12*_xlfn.XLOOKUP(AI$15,sexo_cnu,cnu))</f>
        <v>0</v>
      </c>
      <c r="AJ71" s="74">
        <f>($A71=Esc_6c!E$9)*AA71/(12*_xlfn.XLOOKUP(AJ$15,sexo_cnu,cnu))</f>
        <v>0</v>
      </c>
      <c r="AK71" s="74">
        <f>($A71=Esc_6c!D$9)*AB71/(12*_xlfn.XLOOKUP(AK$15,sexo_cnu,cnu))</f>
        <v>0</v>
      </c>
      <c r="AL71" s="74">
        <f>($A71=Esc_6c!E$9)*AC71/(12*_xlfn.XLOOKUP(AL$15,sexo_cnu,cnu))</f>
        <v>0</v>
      </c>
      <c r="AM71" s="53">
        <f>($A71=Esc_6c!D$9)*V71/(12*_xlfn.XLOOKUP(AM$15,sexo_cnu,cnu_noc))</f>
        <v>0</v>
      </c>
      <c r="AN71" s="53">
        <f>($A71=Esc_6c!E$9)*W71/(12*_xlfn.XLOOKUP(AN$15,sexo_cnu,cnu_noc))</f>
        <v>0</v>
      </c>
      <c r="AO71" s="53">
        <f>($A71=Esc_6c!D$9)*X71/(12*_xlfn.XLOOKUP(AO$15,sexo_cnu,cnu_noc))</f>
        <v>0</v>
      </c>
      <c r="AP71" s="53">
        <f>($A71=Esc_6c!E$9)*Y71/(12*_xlfn.XLOOKUP(AP$15,sexo_cnu,cnu_noc))</f>
        <v>0</v>
      </c>
      <c r="AQ71" s="53">
        <f>($A71=Esc_6c!E$9)*AD71/(12*_xlfn.XLOOKUP(AQ$15,sexo_cnu,cnu_noc))</f>
        <v>0</v>
      </c>
      <c r="AR71" s="53">
        <f>($A71=Esc_6c!E$9)*AE71/(12*_xlfn.XLOOKUP(AR$15,sexo_cnu,cnu_noc))</f>
        <v>0</v>
      </c>
      <c r="AS71" s="53">
        <f>($A71=Esc_6c!D$9)*AF71/(12*_xlfn.XLOOKUP(AS$15,sexo_cnu,cnu_noc))</f>
        <v>0</v>
      </c>
      <c r="AT71" s="53">
        <f>($A71=Esc_6c!E$9)*AG71/(12*_xlfn.XLOOKUP(AT$15,sexo_cnu,cnu_noc))</f>
        <v>0</v>
      </c>
      <c r="AU71" s="39"/>
      <c r="AV71" s="39"/>
    </row>
    <row r="72" spans="1:48" x14ac:dyDescent="0.25">
      <c r="A72" s="30">
        <v>2037</v>
      </c>
      <c r="B72" s="33">
        <f>w_uf*UF*Parámetros!C59</f>
        <v>1010726.9963073004</v>
      </c>
      <c r="C72" s="30">
        <f t="shared" si="15"/>
        <v>58</v>
      </c>
      <c r="D72" s="30">
        <f>((A72=Inputs!$C$12)*(Inputs!$D$12) + (A72=Inputs!$C$13)*(Inputs!$D$13) + (A72=Inputs!$C$14)*(Inputs!$D$14)) *(A72 &gt;= a_afil)*(A72&gt;=2024)</f>
        <v>0</v>
      </c>
      <c r="E72" s="30">
        <f>MIN(1,(A72=Inputs!$C$19)*Inputs!$D$19+(A72=Inputs!$C$20)*Inputs!$D$20+(A72=Inputs!$C$21)*Inputs!$D$21*(A72 &gt;= a_afil))</f>
        <v>0</v>
      </c>
      <c r="F72" s="30">
        <f t="shared" si="16"/>
        <v>1</v>
      </c>
      <c r="G72" s="30">
        <f t="shared" si="17"/>
        <v>1</v>
      </c>
      <c r="H72" s="30">
        <v>0.49707096815109253</v>
      </c>
      <c r="I72" s="37">
        <f t="shared" si="22"/>
        <v>0.57999999999999996</v>
      </c>
      <c r="J72" s="37">
        <f t="shared" si="23"/>
        <v>0.57999999999999996</v>
      </c>
      <c r="K72" s="30">
        <f>1*OR(Inputs!$D$17=$A72,Inputs!$E$17=$A72)*($E72=0)*(F72=1)</f>
        <v>0</v>
      </c>
      <c r="L72" s="30">
        <f>1*OR(Inputs!$D$17=$A72,Inputs!$E$17=$A72)*($E72=0)*(G72=1)</f>
        <v>0</v>
      </c>
      <c r="M72" s="73">
        <f t="shared" si="31"/>
        <v>422079.59365792864</v>
      </c>
      <c r="N72" s="73">
        <f t="shared" si="32"/>
        <v>422079.59365792864</v>
      </c>
      <c r="O72" s="55">
        <f>MIN(Parámetros!$E59, _xlfn.XLOOKUP($A72,agnos,tope_ref_col)*UF)*12*I72*$P$14</f>
        <v>562068.50552580704</v>
      </c>
      <c r="P72" s="55">
        <f>MIN(Parámetros!$E59, _xlfn.XLOOKUP($A72,agnos,tope_ref_col)*UF)*12*J72*$P$14</f>
        <v>562068.50552580704</v>
      </c>
      <c r="Q72" s="70">
        <f t="shared" si="18"/>
        <v>703465.9894298811</v>
      </c>
      <c r="R72" s="70">
        <f t="shared" si="19"/>
        <v>703465.9894298811</v>
      </c>
      <c r="S72" s="68">
        <f t="shared" si="27"/>
        <v>738639.28890137502</v>
      </c>
      <c r="T72" s="68">
        <f t="shared" si="28"/>
        <v>738639.28890137502</v>
      </c>
      <c r="U72" s="38"/>
      <c r="V72" s="55">
        <f>IF($A72&gt;Esc_6c!D$9,0,M72*alpha  +V71*(1+i_noc))</f>
        <v>3536472.7471108045</v>
      </c>
      <c r="W72" s="55">
        <f>IF($A72&gt;Esc_6c!E$9,0,N72*alpha  +W71*(1+i_noc))</f>
        <v>3536472.7471108045</v>
      </c>
      <c r="X72" s="55">
        <f>IF($A72&gt;Esc_6c!D$9,0,O72*(1-alpha)+X71*(1+i_noc))</f>
        <v>2018312.5732024834</v>
      </c>
      <c r="Y72" s="55">
        <f>IF($A72&gt;Esc_6c!E$9,0,P72*(1-alpha)+Y71*(1+i_noc))</f>
        <v>2018312.5732024834</v>
      </c>
      <c r="Z72" s="54">
        <f t="shared" si="20"/>
        <v>34014242.349019349</v>
      </c>
      <c r="AA72" s="54">
        <f t="shared" si="21"/>
        <v>34014242.349019349</v>
      </c>
      <c r="AB72" s="55">
        <f t="shared" si="29"/>
        <v>34351703.834862493</v>
      </c>
      <c r="AC72" s="55">
        <f t="shared" si="30"/>
        <v>34351703.834862493</v>
      </c>
      <c r="AD72" s="53">
        <f>D72*mmater*Parámetros!$G59*$W$14+AD71*(1+i_noc)</f>
        <v>0</v>
      </c>
      <c r="AE72" s="53">
        <f>E72*12*Parámetros!$F59*$W$14+AE71*(1+i_noc)</f>
        <v>1493003.9668118234</v>
      </c>
      <c r="AF72" s="53">
        <f t="shared" si="25"/>
        <v>158780.60755807077</v>
      </c>
      <c r="AG72" s="53">
        <f t="shared" si="26"/>
        <v>158780.60755807077</v>
      </c>
      <c r="AI72" s="74">
        <f>($A72=Esc_6c!D$9)*Z72/(12*_xlfn.XLOOKUP(AI$15,sexo_cnu,cnu))</f>
        <v>0</v>
      </c>
      <c r="AJ72" s="74">
        <f>($A72=Esc_6c!E$9)*AA72/(12*_xlfn.XLOOKUP(AJ$15,sexo_cnu,cnu))</f>
        <v>0</v>
      </c>
      <c r="AK72" s="74">
        <f>($A72=Esc_6c!D$9)*AB72/(12*_xlfn.XLOOKUP(AK$15,sexo_cnu,cnu))</f>
        <v>0</v>
      </c>
      <c r="AL72" s="74">
        <f>($A72=Esc_6c!E$9)*AC72/(12*_xlfn.XLOOKUP(AL$15,sexo_cnu,cnu))</f>
        <v>0</v>
      </c>
      <c r="AM72" s="53">
        <f>($A72=Esc_6c!D$9)*V72/(12*_xlfn.XLOOKUP(AM$15,sexo_cnu,cnu_noc))</f>
        <v>0</v>
      </c>
      <c r="AN72" s="53">
        <f>($A72=Esc_6c!E$9)*W72/(12*_xlfn.XLOOKUP(AN$15,sexo_cnu,cnu_noc))</f>
        <v>0</v>
      </c>
      <c r="AO72" s="53">
        <f>($A72=Esc_6c!D$9)*X72/(12*_xlfn.XLOOKUP(AO$15,sexo_cnu,cnu_noc))</f>
        <v>0</v>
      </c>
      <c r="AP72" s="53">
        <f>($A72=Esc_6c!E$9)*Y72/(12*_xlfn.XLOOKUP(AP$15,sexo_cnu,cnu_noc))</f>
        <v>0</v>
      </c>
      <c r="AQ72" s="53">
        <f>($A72=Esc_6c!E$9)*AD72/(12*_xlfn.XLOOKUP(AQ$15,sexo_cnu,cnu_noc))</f>
        <v>0</v>
      </c>
      <c r="AR72" s="53">
        <f>($A72=Esc_6c!E$9)*AE72/(12*_xlfn.XLOOKUP(AR$15,sexo_cnu,cnu_noc))</f>
        <v>0</v>
      </c>
      <c r="AS72" s="53">
        <f>($A72=Esc_6c!D$9)*AF72/(12*_xlfn.XLOOKUP(AS$15,sexo_cnu,cnu_noc))</f>
        <v>0</v>
      </c>
      <c r="AT72" s="53">
        <f>($A72=Esc_6c!E$9)*AG72/(12*_xlfn.XLOOKUP(AT$15,sexo_cnu,cnu_noc))</f>
        <v>0</v>
      </c>
      <c r="AU72" s="39"/>
      <c r="AV72" s="39"/>
    </row>
    <row r="73" spans="1:48" x14ac:dyDescent="0.25">
      <c r="A73" s="30">
        <v>2038</v>
      </c>
      <c r="B73" s="33">
        <f>w_uf*UF*Parámetros!C60</f>
        <v>1023361.0837611416</v>
      </c>
      <c r="C73" s="30">
        <f t="shared" si="15"/>
        <v>59</v>
      </c>
      <c r="D73" s="30">
        <f>((A73=Inputs!$C$12)*(Inputs!$D$12) + (A73=Inputs!$C$13)*(Inputs!$D$13) + (A73=Inputs!$C$14)*(Inputs!$D$14)) *(A73 &gt;= a_afil)*(A73&gt;=2024)</f>
        <v>0</v>
      </c>
      <c r="E73" s="30">
        <f>MIN(1,(A73=Inputs!$C$19)*Inputs!$D$19+(A73=Inputs!$C$20)*Inputs!$D$20+(A73=Inputs!$C$21)*Inputs!$D$21*(A73 &gt;= a_afil))</f>
        <v>0</v>
      </c>
      <c r="F73" s="30">
        <f t="shared" si="16"/>
        <v>1</v>
      </c>
      <c r="G73" s="30">
        <f t="shared" si="17"/>
        <v>1</v>
      </c>
      <c r="H73" s="30">
        <v>0.15543568134307861</v>
      </c>
      <c r="I73" s="37">
        <f t="shared" si="22"/>
        <v>0.57999999999999996</v>
      </c>
      <c r="J73" s="37">
        <f t="shared" si="23"/>
        <v>0.57999999999999996</v>
      </c>
      <c r="K73" s="30">
        <f>1*OR(Inputs!$D$17=$A73,Inputs!$E$17=$A73)*($E73=0)*(F73=1)</f>
        <v>0</v>
      </c>
      <c r="L73" s="30">
        <f>1*OR(Inputs!$D$17=$A73,Inputs!$E$17=$A73)*($E73=0)*(G73=1)</f>
        <v>0</v>
      </c>
      <c r="M73" s="73">
        <f t="shared" si="31"/>
        <v>427355.58857865271</v>
      </c>
      <c r="N73" s="73">
        <f t="shared" si="32"/>
        <v>427355.58857865271</v>
      </c>
      <c r="O73" s="55">
        <f>MIN(Parámetros!$E60, _xlfn.XLOOKUP($A73,agnos,tope_ref_col)*UF)*12*I73*$P$14</f>
        <v>569094.36184487969</v>
      </c>
      <c r="P73" s="55">
        <f>MIN(Parámetros!$E60, _xlfn.XLOOKUP($A73,agnos,tope_ref_col)*UF)*12*J73*$P$14</f>
        <v>569094.36184487969</v>
      </c>
      <c r="Q73" s="70">
        <f t="shared" si="18"/>
        <v>712259.31429775455</v>
      </c>
      <c r="R73" s="70">
        <f t="shared" si="19"/>
        <v>712259.31429775455</v>
      </c>
      <c r="S73" s="68">
        <f t="shared" si="27"/>
        <v>747872.28001264215</v>
      </c>
      <c r="T73" s="68">
        <f t="shared" si="28"/>
        <v>747872.28001264215</v>
      </c>
      <c r="U73" s="38"/>
      <c r="V73" s="55">
        <f>IF($A73&gt;Esc_6c!D$9,0,M73*alpha  +V72*(1+i_noc))</f>
        <v>3906351.1140580773</v>
      </c>
      <c r="W73" s="55">
        <f>IF($A73&gt;Esc_6c!E$9,0,N73*alpha  +W72*(1+i_noc))</f>
        <v>3906351.1140580773</v>
      </c>
      <c r="X73" s="55">
        <f>IF($A73&gt;Esc_6c!D$9,0,O73*(1-alpha)+X72*(1+i_noc))</f>
        <v>2229407.1332199969</v>
      </c>
      <c r="Y73" s="55">
        <f>IF($A73&gt;Esc_6c!E$9,0,P73*(1-alpha)+Y72*(1+i_noc))</f>
        <v>2229407.1332199969</v>
      </c>
      <c r="Z73" s="54">
        <f t="shared" si="20"/>
        <v>35876183.054713964</v>
      </c>
      <c r="AA73" s="54">
        <f t="shared" si="21"/>
        <v>35876183.054713964</v>
      </c>
      <c r="AB73" s="55">
        <f t="shared" si="29"/>
        <v>36215207.331470162</v>
      </c>
      <c r="AC73" s="55">
        <f t="shared" si="30"/>
        <v>36215207.331470162</v>
      </c>
      <c r="AD73" s="53">
        <f>D73*mmater*Parámetros!$G60*$W$14+AD72*(1+i_noc)</f>
        <v>0</v>
      </c>
      <c r="AE73" s="53">
        <f>E73*12*Parámetros!$F60*$W$14+AE72*(1+i_noc)</f>
        <v>1522864.0461480599</v>
      </c>
      <c r="AF73" s="53">
        <f t="shared" si="25"/>
        <v>161956.21970923219</v>
      </c>
      <c r="AG73" s="53">
        <f t="shared" si="26"/>
        <v>161956.21970923219</v>
      </c>
      <c r="AI73" s="74">
        <f>($A73=Esc_6c!D$9)*Z73/(12*_xlfn.XLOOKUP(AI$15,sexo_cnu,cnu))</f>
        <v>0</v>
      </c>
      <c r="AJ73" s="74">
        <f>($A73=Esc_6c!E$9)*AA73/(12*_xlfn.XLOOKUP(AJ$15,sexo_cnu,cnu))</f>
        <v>0</v>
      </c>
      <c r="AK73" s="74">
        <f>($A73=Esc_6c!D$9)*AB73/(12*_xlfn.XLOOKUP(AK$15,sexo_cnu,cnu))</f>
        <v>0</v>
      </c>
      <c r="AL73" s="74">
        <f>($A73=Esc_6c!E$9)*AC73/(12*_xlfn.XLOOKUP(AL$15,sexo_cnu,cnu))</f>
        <v>0</v>
      </c>
      <c r="AM73" s="53">
        <f>($A73=Esc_6c!D$9)*V73/(12*_xlfn.XLOOKUP(AM$15,sexo_cnu,cnu_noc))</f>
        <v>0</v>
      </c>
      <c r="AN73" s="53">
        <f>($A73=Esc_6c!E$9)*W73/(12*_xlfn.XLOOKUP(AN$15,sexo_cnu,cnu_noc))</f>
        <v>0</v>
      </c>
      <c r="AO73" s="53">
        <f>($A73=Esc_6c!D$9)*X73/(12*_xlfn.XLOOKUP(AO$15,sexo_cnu,cnu_noc))</f>
        <v>0</v>
      </c>
      <c r="AP73" s="53">
        <f>($A73=Esc_6c!E$9)*Y73/(12*_xlfn.XLOOKUP(AP$15,sexo_cnu,cnu_noc))</f>
        <v>0</v>
      </c>
      <c r="AQ73" s="53">
        <f>($A73=Esc_6c!E$9)*AD73/(12*_xlfn.XLOOKUP(AQ$15,sexo_cnu,cnu_noc))</f>
        <v>0</v>
      </c>
      <c r="AR73" s="53">
        <f>($A73=Esc_6c!E$9)*AE73/(12*_xlfn.XLOOKUP(AR$15,sexo_cnu,cnu_noc))</f>
        <v>0</v>
      </c>
      <c r="AS73" s="53">
        <f>($A73=Esc_6c!D$9)*AF73/(12*_xlfn.XLOOKUP(AS$15,sexo_cnu,cnu_noc))</f>
        <v>0</v>
      </c>
      <c r="AT73" s="53">
        <f>($A73=Esc_6c!E$9)*AG73/(12*_xlfn.XLOOKUP(AT$15,sexo_cnu,cnu_noc))</f>
        <v>0</v>
      </c>
      <c r="AU73" s="39"/>
      <c r="AV73" s="39"/>
    </row>
    <row r="74" spans="1:48" x14ac:dyDescent="0.25">
      <c r="A74" s="30">
        <v>2039</v>
      </c>
      <c r="B74" s="33">
        <f>w_uf*UF*Parámetros!C61</f>
        <v>1036153.0973081558</v>
      </c>
      <c r="C74" s="30">
        <f t="shared" si="15"/>
        <v>60</v>
      </c>
      <c r="D74" s="30">
        <f>((A74=Inputs!$C$12)*(Inputs!$D$12) + (A74=Inputs!$C$13)*(Inputs!$D$13) + (A74=Inputs!$C$14)*(Inputs!$D$14)) *(A74 &gt;= a_afil)*(A74&gt;=2024)</f>
        <v>0</v>
      </c>
      <c r="E74" s="30">
        <f>MIN(1,(A74=Inputs!$C$19)*Inputs!$D$19+(A74=Inputs!$C$20)*Inputs!$D$20+(A74=Inputs!$C$21)*Inputs!$D$21*(A74 &gt;= a_afil))</f>
        <v>0</v>
      </c>
      <c r="F74" s="30">
        <f t="shared" si="16"/>
        <v>1</v>
      </c>
      <c r="G74" s="30">
        <f t="shared" si="17"/>
        <v>1</v>
      </c>
      <c r="H74" s="30">
        <v>0.22373753786087036</v>
      </c>
      <c r="I74" s="37">
        <f t="shared" si="22"/>
        <v>0.57999999999999996</v>
      </c>
      <c r="J74" s="37">
        <f t="shared" si="23"/>
        <v>0.57999999999999996</v>
      </c>
      <c r="K74" s="30">
        <f>1*OR(Inputs!$D$17=$A74,Inputs!$E$17=$A74)*($E74=0)*(F74=1)</f>
        <v>0</v>
      </c>
      <c r="L74" s="30">
        <f>1*OR(Inputs!$D$17=$A74,Inputs!$E$17=$A74)*($E74=0)*(G74=1)</f>
        <v>0</v>
      </c>
      <c r="M74" s="73">
        <f t="shared" si="31"/>
        <v>432697.53343588579</v>
      </c>
      <c r="N74" s="73">
        <f t="shared" si="32"/>
        <v>432697.53343588579</v>
      </c>
      <c r="O74" s="55">
        <f>MIN(Parámetros!$E61, _xlfn.XLOOKUP($A74,agnos,tope_ref_col)*UF)*12*I74*$P$14</f>
        <v>576208.0413679406</v>
      </c>
      <c r="P74" s="55">
        <f>MIN(Parámetros!$E61, _xlfn.XLOOKUP($A74,agnos,tope_ref_col)*UF)*12*J74*$P$14</f>
        <v>576208.0413679406</v>
      </c>
      <c r="Q74" s="70">
        <f t="shared" si="18"/>
        <v>721162.55572647648</v>
      </c>
      <c r="R74" s="70">
        <f t="shared" si="19"/>
        <v>721162.55572647648</v>
      </c>
      <c r="S74" s="68">
        <f t="shared" si="27"/>
        <v>757220.68351280014</v>
      </c>
      <c r="T74" s="68">
        <f t="shared" si="28"/>
        <v>757220.68351280014</v>
      </c>
      <c r="U74" s="38"/>
      <c r="V74" s="55">
        <f>IF($A74&gt;Esc_6c!D$9,0,M74*alpha  +V73*(1+i_noc))</f>
        <v>4287366.4097443586</v>
      </c>
      <c r="W74" s="55">
        <f>IF($A74&gt;Esc_6c!E$9,0,N74*alpha  +W73*(1+i_noc))</f>
        <v>4287366.4097443586</v>
      </c>
      <c r="X74" s="55">
        <f>IF($A74&gt;Esc_6c!D$9,0,O74*(1-alpha)+X73*(1+i_noc))</f>
        <v>2446857.688294779</v>
      </c>
      <c r="Y74" s="55">
        <f>IF($A74&gt;Esc_6c!E$9,0,P74*(1-alpha)+Y73*(1+i_noc))</f>
        <v>2446857.688294779</v>
      </c>
      <c r="Z74" s="54">
        <f t="shared" si="20"/>
        <v>37809960.597689778</v>
      </c>
      <c r="AA74" s="54">
        <f t="shared" si="21"/>
        <v>37809960.597689778</v>
      </c>
      <c r="AB74" s="55">
        <f t="shared" si="29"/>
        <v>38148579.742672384</v>
      </c>
      <c r="AC74" s="55">
        <f t="shared" si="30"/>
        <v>38148579.742672384</v>
      </c>
      <c r="AD74" s="53">
        <f>D74*mmater*Parámetros!$G61*$W$14+AD73*(1+i_noc)</f>
        <v>0</v>
      </c>
      <c r="AE74" s="53">
        <f>E74*12*Parámetros!$F61*$W$14+AE73*(1+i_noc)</f>
        <v>1553321.3270710211</v>
      </c>
      <c r="AF74" s="53">
        <f t="shared" si="25"/>
        <v>165195.34410341684</v>
      </c>
      <c r="AG74" s="53">
        <f t="shared" si="26"/>
        <v>165195.34410341684</v>
      </c>
      <c r="AI74" s="74">
        <f>($A74=Esc_6c!D$9)*Z74/(12*_xlfn.XLOOKUP(AI$15,sexo_cnu,cnu))</f>
        <v>0</v>
      </c>
      <c r="AJ74" s="74">
        <f>($A74=Esc_6c!E$9)*AA74/(12*_xlfn.XLOOKUP(AJ$15,sexo_cnu,cnu))</f>
        <v>0</v>
      </c>
      <c r="AK74" s="74">
        <f>($A74=Esc_6c!D$9)*AB74/(12*_xlfn.XLOOKUP(AK$15,sexo_cnu,cnu))</f>
        <v>0</v>
      </c>
      <c r="AL74" s="74">
        <f>($A74=Esc_6c!E$9)*AC74/(12*_xlfn.XLOOKUP(AL$15,sexo_cnu,cnu))</f>
        <v>0</v>
      </c>
      <c r="AM74" s="53">
        <f>($A74=Esc_6c!D$9)*V74/(12*_xlfn.XLOOKUP(AM$15,sexo_cnu,cnu_noc))</f>
        <v>0</v>
      </c>
      <c r="AN74" s="53">
        <f>($A74=Esc_6c!E$9)*W74/(12*_xlfn.XLOOKUP(AN$15,sexo_cnu,cnu_noc))</f>
        <v>0</v>
      </c>
      <c r="AO74" s="53">
        <f>($A74=Esc_6c!D$9)*X74/(12*_xlfn.XLOOKUP(AO$15,sexo_cnu,cnu_noc))</f>
        <v>0</v>
      </c>
      <c r="AP74" s="53">
        <f>($A74=Esc_6c!E$9)*Y74/(12*_xlfn.XLOOKUP(AP$15,sexo_cnu,cnu_noc))</f>
        <v>0</v>
      </c>
      <c r="AQ74" s="53">
        <f>($A74=Esc_6c!E$9)*AD74/(12*_xlfn.XLOOKUP(AQ$15,sexo_cnu,cnu_noc))</f>
        <v>0</v>
      </c>
      <c r="AR74" s="53">
        <f>($A74=Esc_6c!E$9)*AE74/(12*_xlfn.XLOOKUP(AR$15,sexo_cnu,cnu_noc))</f>
        <v>0</v>
      </c>
      <c r="AS74" s="53">
        <f>($A74=Esc_6c!D$9)*AF74/(12*_xlfn.XLOOKUP(AS$15,sexo_cnu,cnu_noc))</f>
        <v>0</v>
      </c>
      <c r="AT74" s="53">
        <f>($A74=Esc_6c!E$9)*AG74/(12*_xlfn.XLOOKUP(AT$15,sexo_cnu,cnu_noc))</f>
        <v>0</v>
      </c>
      <c r="AU74" s="39"/>
      <c r="AV74" s="39"/>
    </row>
    <row r="75" spans="1:48" x14ac:dyDescent="0.25">
      <c r="A75" s="30">
        <v>2040</v>
      </c>
      <c r="B75" s="33">
        <f>w_uf*UF*Parámetros!C62</f>
        <v>1049105.0110245079</v>
      </c>
      <c r="C75" s="30">
        <f t="shared" si="15"/>
        <v>61</v>
      </c>
      <c r="D75" s="30">
        <f>((A75=Inputs!$C$12)*(Inputs!$D$12) + (A75=Inputs!$C$13)*(Inputs!$D$13) + (A75=Inputs!$C$14)*(Inputs!$D$14)) *(A75 &gt;= a_afil)*(A75&gt;=2024)</f>
        <v>0</v>
      </c>
      <c r="E75" s="30">
        <f>MIN(1,(A75=Inputs!$C$19)*Inputs!$D$19+(A75=Inputs!$C$20)*Inputs!$D$20+(A75=Inputs!$C$21)*Inputs!$D$21*(A75 &gt;= a_afil))</f>
        <v>0</v>
      </c>
      <c r="F75" s="30">
        <f t="shared" si="16"/>
        <v>1</v>
      </c>
      <c r="G75" s="30">
        <f t="shared" si="17"/>
        <v>1</v>
      </c>
      <c r="H75" s="30">
        <v>0.32614398002624512</v>
      </c>
      <c r="I75" s="37">
        <f t="shared" si="22"/>
        <v>0.57999999999999996</v>
      </c>
      <c r="J75" s="37">
        <f t="shared" si="23"/>
        <v>0.57999999999999996</v>
      </c>
      <c r="K75" s="30">
        <f>1*OR(Inputs!$D$17=$A75,Inputs!$E$17=$A75)*($E75=0)*(F75=1)</f>
        <v>0</v>
      </c>
      <c r="L75" s="30">
        <f>1*OR(Inputs!$D$17=$A75,Inputs!$E$17=$A75)*($E75=0)*(G75=1)</f>
        <v>0</v>
      </c>
      <c r="M75" s="73">
        <f t="shared" si="31"/>
        <v>438106.25260383449</v>
      </c>
      <c r="N75" s="73">
        <f t="shared" si="32"/>
        <v>438106.25260383449</v>
      </c>
      <c r="O75" s="55">
        <f>MIN(Parámetros!$E62, _xlfn.XLOOKUP($A75,agnos,tope_ref_col)*UF)*12*I75*$P$14</f>
        <v>583410.64188503975</v>
      </c>
      <c r="P75" s="55">
        <f>MIN(Parámetros!$E62, _xlfn.XLOOKUP($A75,agnos,tope_ref_col)*UF)*12*J75*$P$14</f>
        <v>583410.64188503975</v>
      </c>
      <c r="Q75" s="70">
        <f t="shared" si="18"/>
        <v>730177.08767305757</v>
      </c>
      <c r="R75" s="70">
        <f t="shared" si="19"/>
        <v>730177.08767305757</v>
      </c>
      <c r="S75" s="68">
        <f t="shared" si="27"/>
        <v>766685.94205671025</v>
      </c>
      <c r="T75" s="68">
        <f t="shared" si="28"/>
        <v>766685.94205671025</v>
      </c>
      <c r="U75" s="38"/>
      <c r="V75" s="55">
        <f>IF($A75&gt;Esc_6c!D$9,0,M75*alpha  +V74*(1+i_noc))</f>
        <v>4679788.11476193</v>
      </c>
      <c r="W75" s="55">
        <f>IF($A75&gt;Esc_6c!E$9,0,N75*alpha  +W74*(1+i_noc))</f>
        <v>4679788.11476193</v>
      </c>
      <c r="X75" s="55">
        <f>IF($A75&gt;Esc_6c!D$9,0,O75*(1-alpha)+X74*(1+i_noc))</f>
        <v>2670818.0346261864</v>
      </c>
      <c r="Y75" s="55">
        <f>IF($A75&gt;Esc_6c!E$9,0,P75*(1-alpha)+Y74*(1+i_noc))</f>
        <v>2670818.0346261864</v>
      </c>
      <c r="Z75" s="54">
        <f t="shared" si="20"/>
        <v>39818114.353564754</v>
      </c>
      <c r="AA75" s="54">
        <f t="shared" si="21"/>
        <v>39818114.353564754</v>
      </c>
      <c r="AB75" s="55">
        <f t="shared" si="29"/>
        <v>40154207.037806816</v>
      </c>
      <c r="AC75" s="55">
        <f t="shared" si="30"/>
        <v>40154207.037806816</v>
      </c>
      <c r="AD75" s="53">
        <f>D75*mmater*Parámetros!$G62*$W$14+AD74*(1+i_noc)</f>
        <v>0</v>
      </c>
      <c r="AE75" s="53">
        <f>E75*12*Parámetros!$F62*$W$14+AE74*(1+i_noc)</f>
        <v>1584387.7536124415</v>
      </c>
      <c r="AF75" s="53">
        <f t="shared" si="25"/>
        <v>168499.25098548518</v>
      </c>
      <c r="AG75" s="53">
        <f t="shared" si="26"/>
        <v>168499.25098548518</v>
      </c>
      <c r="AI75" s="74">
        <f>($A75=Esc_6c!D$9)*Z75/(12*_xlfn.XLOOKUP(AI$15,sexo_cnu,cnu))</f>
        <v>0</v>
      </c>
      <c r="AJ75" s="74">
        <f>($A75=Esc_6c!E$9)*AA75/(12*_xlfn.XLOOKUP(AJ$15,sexo_cnu,cnu))</f>
        <v>0</v>
      </c>
      <c r="AK75" s="74">
        <f>($A75=Esc_6c!D$9)*AB75/(12*_xlfn.XLOOKUP(AK$15,sexo_cnu,cnu))</f>
        <v>0</v>
      </c>
      <c r="AL75" s="74">
        <f>($A75=Esc_6c!E$9)*AC75/(12*_xlfn.XLOOKUP(AL$15,sexo_cnu,cnu))</f>
        <v>0</v>
      </c>
      <c r="AM75" s="53">
        <f>($A75=Esc_6c!D$9)*V75/(12*_xlfn.XLOOKUP(AM$15,sexo_cnu,cnu_noc))</f>
        <v>0</v>
      </c>
      <c r="AN75" s="53">
        <f>($A75=Esc_6c!E$9)*W75/(12*_xlfn.XLOOKUP(AN$15,sexo_cnu,cnu_noc))</f>
        <v>0</v>
      </c>
      <c r="AO75" s="53">
        <f>($A75=Esc_6c!D$9)*X75/(12*_xlfn.XLOOKUP(AO$15,sexo_cnu,cnu_noc))</f>
        <v>0</v>
      </c>
      <c r="AP75" s="53">
        <f>($A75=Esc_6c!E$9)*Y75/(12*_xlfn.XLOOKUP(AP$15,sexo_cnu,cnu_noc))</f>
        <v>0</v>
      </c>
      <c r="AQ75" s="53">
        <f>($A75=Esc_6c!E$9)*AD75/(12*_xlfn.XLOOKUP(AQ$15,sexo_cnu,cnu_noc))</f>
        <v>0</v>
      </c>
      <c r="AR75" s="53">
        <f>($A75=Esc_6c!E$9)*AE75/(12*_xlfn.XLOOKUP(AR$15,sexo_cnu,cnu_noc))</f>
        <v>0</v>
      </c>
      <c r="AS75" s="53">
        <f>($A75=Esc_6c!D$9)*AF75/(12*_xlfn.XLOOKUP(AS$15,sexo_cnu,cnu_noc))</f>
        <v>0</v>
      </c>
      <c r="AT75" s="53">
        <f>($A75=Esc_6c!E$9)*AG75/(12*_xlfn.XLOOKUP(AT$15,sexo_cnu,cnu_noc))</f>
        <v>0</v>
      </c>
      <c r="AU75" s="39"/>
      <c r="AV75" s="39"/>
    </row>
    <row r="76" spans="1:48" x14ac:dyDescent="0.25">
      <c r="A76" s="30">
        <v>2041</v>
      </c>
      <c r="B76" s="33">
        <f>w_uf*UF*Parámetros!C63</f>
        <v>1062218.8236623141</v>
      </c>
      <c r="C76" s="30">
        <f t="shared" si="15"/>
        <v>62</v>
      </c>
      <c r="D76" s="30">
        <f>((A76=Inputs!$C$12)*(Inputs!$D$12) + (A76=Inputs!$C$13)*(Inputs!$D$13) + (A76=Inputs!$C$14)*(Inputs!$D$14)) *(A76 &gt;= a_afil)*(A76&gt;=2024)</f>
        <v>0</v>
      </c>
      <c r="E76" s="30">
        <f>MIN(1,(A76=Inputs!$C$19)*Inputs!$D$19+(A76=Inputs!$C$20)*Inputs!$D$20+(A76=Inputs!$C$21)*Inputs!$D$21*(A76 &gt;= a_afil))</f>
        <v>0</v>
      </c>
      <c r="F76" s="30">
        <f t="shared" si="16"/>
        <v>1</v>
      </c>
      <c r="G76" s="30">
        <f t="shared" si="17"/>
        <v>1</v>
      </c>
      <c r="H76" s="30">
        <v>0.78448861837387085</v>
      </c>
      <c r="I76" s="37">
        <f t="shared" si="22"/>
        <v>0.57999999999999996</v>
      </c>
      <c r="J76" s="37">
        <f t="shared" si="23"/>
        <v>0.57999999999999996</v>
      </c>
      <c r="K76" s="30">
        <f>1*OR(Inputs!$D$17=$A76,Inputs!$E$17=$A76)*($E76=0)*(F76=1)</f>
        <v>0</v>
      </c>
      <c r="L76" s="30">
        <f>1*OR(Inputs!$D$17=$A76,Inputs!$E$17=$A76)*($E76=0)*(G76=1)</f>
        <v>0</v>
      </c>
      <c r="M76" s="73">
        <f t="shared" si="31"/>
        <v>443582.58076138236</v>
      </c>
      <c r="N76" s="73">
        <f t="shared" si="32"/>
        <v>443582.58076138236</v>
      </c>
      <c r="O76" s="55">
        <f>MIN(Parámetros!$E63, _xlfn.XLOOKUP($A76,agnos,tope_ref_col)*UF)*12*I76*$P$14</f>
        <v>590703.27490860282</v>
      </c>
      <c r="P76" s="55">
        <f>MIN(Parámetros!$E63, _xlfn.XLOOKUP($A76,agnos,tope_ref_col)*UF)*12*J76*$P$14</f>
        <v>590703.27490860282</v>
      </c>
      <c r="Q76" s="70">
        <f t="shared" si="18"/>
        <v>739304.30126897059</v>
      </c>
      <c r="R76" s="70">
        <f t="shared" si="19"/>
        <v>739304.30126897059</v>
      </c>
      <c r="S76" s="68">
        <f t="shared" si="27"/>
        <v>776269.51633241901</v>
      </c>
      <c r="T76" s="68">
        <f t="shared" si="28"/>
        <v>776269.51633241901</v>
      </c>
      <c r="U76" s="38"/>
      <c r="V76" s="55">
        <f>IF($A76&gt;Esc_6c!D$9,0,M76*alpha  +V75*(1+i_noc))</f>
        <v>5083891.6835901365</v>
      </c>
      <c r="W76" s="55">
        <f>IF($A76&gt;Esc_6c!E$9,0,N76*alpha  +W75*(1+i_noc))</f>
        <v>5083891.6835901365</v>
      </c>
      <c r="X76" s="55">
        <f>IF($A76&gt;Esc_6c!D$9,0,O76*(1-alpha)+X75*(1+i_noc))</f>
        <v>2901445.3777912911</v>
      </c>
      <c r="Y76" s="55">
        <f>IF($A76&gt;Esc_6c!E$9,0,P76*(1-alpha)+Y75*(1+i_noc))</f>
        <v>2901445.3777912911</v>
      </c>
      <c r="Z76" s="54">
        <f t="shared" si="20"/>
        <v>41903270.919984214</v>
      </c>
      <c r="AA76" s="54">
        <f t="shared" si="21"/>
        <v>41903270.919984214</v>
      </c>
      <c r="AB76" s="55">
        <f t="shared" si="29"/>
        <v>42234554.13539543</v>
      </c>
      <c r="AC76" s="55">
        <f t="shared" si="30"/>
        <v>42234554.13539543</v>
      </c>
      <c r="AD76" s="53">
        <f>D76*mmater*Parámetros!$G63*$W$14+AD75*(1+i_noc)</f>
        <v>0</v>
      </c>
      <c r="AE76" s="53">
        <f>E76*12*Parámetros!$F63*$W$14+AE75*(1+i_noc)</f>
        <v>1616075.5086846903</v>
      </c>
      <c r="AF76" s="53">
        <f t="shared" si="25"/>
        <v>171869.23600519489</v>
      </c>
      <c r="AG76" s="53">
        <f t="shared" si="26"/>
        <v>171869.23600519489</v>
      </c>
      <c r="AI76" s="74">
        <f>($A76=Esc_6c!D$9)*Z76/(12*_xlfn.XLOOKUP(AI$15,sexo_cnu,cnu))</f>
        <v>0</v>
      </c>
      <c r="AJ76" s="74">
        <f>($A76=Esc_6c!E$9)*AA76/(12*_xlfn.XLOOKUP(AJ$15,sexo_cnu,cnu))</f>
        <v>0</v>
      </c>
      <c r="AK76" s="74">
        <f>($A76=Esc_6c!D$9)*AB76/(12*_xlfn.XLOOKUP(AK$15,sexo_cnu,cnu))</f>
        <v>0</v>
      </c>
      <c r="AL76" s="74">
        <f>($A76=Esc_6c!E$9)*AC76/(12*_xlfn.XLOOKUP(AL$15,sexo_cnu,cnu))</f>
        <v>0</v>
      </c>
      <c r="AM76" s="53">
        <f>($A76=Esc_6c!D$9)*V76/(12*_xlfn.XLOOKUP(AM$15,sexo_cnu,cnu_noc))</f>
        <v>0</v>
      </c>
      <c r="AN76" s="53">
        <f>($A76=Esc_6c!E$9)*W76/(12*_xlfn.XLOOKUP(AN$15,sexo_cnu,cnu_noc))</f>
        <v>0</v>
      </c>
      <c r="AO76" s="53">
        <f>($A76=Esc_6c!D$9)*X76/(12*_xlfn.XLOOKUP(AO$15,sexo_cnu,cnu_noc))</f>
        <v>0</v>
      </c>
      <c r="AP76" s="53">
        <f>($A76=Esc_6c!E$9)*Y76/(12*_xlfn.XLOOKUP(AP$15,sexo_cnu,cnu_noc))</f>
        <v>0</v>
      </c>
      <c r="AQ76" s="53">
        <f>($A76=Esc_6c!E$9)*AD76/(12*_xlfn.XLOOKUP(AQ$15,sexo_cnu,cnu_noc))</f>
        <v>0</v>
      </c>
      <c r="AR76" s="53">
        <f>($A76=Esc_6c!E$9)*AE76/(12*_xlfn.XLOOKUP(AR$15,sexo_cnu,cnu_noc))</f>
        <v>0</v>
      </c>
      <c r="AS76" s="53">
        <f>($A76=Esc_6c!D$9)*AF76/(12*_xlfn.XLOOKUP(AS$15,sexo_cnu,cnu_noc))</f>
        <v>0</v>
      </c>
      <c r="AT76" s="53">
        <f>($A76=Esc_6c!E$9)*AG76/(12*_xlfn.XLOOKUP(AT$15,sexo_cnu,cnu_noc))</f>
        <v>0</v>
      </c>
      <c r="AU76" s="39"/>
      <c r="AV76" s="39"/>
    </row>
    <row r="77" spans="1:48" x14ac:dyDescent="0.25">
      <c r="A77" s="30">
        <v>2042</v>
      </c>
      <c r="B77" s="33">
        <f>w_uf*UF*Parámetros!C64</f>
        <v>1075496.5589580929</v>
      </c>
      <c r="C77" s="30">
        <f t="shared" si="15"/>
        <v>63</v>
      </c>
      <c r="D77" s="30">
        <f>((A77=Inputs!$C$12)*(Inputs!$D$12) + (A77=Inputs!$C$13)*(Inputs!$D$13) + (A77=Inputs!$C$14)*(Inputs!$D$14)) *(A77 &gt;= a_afil)*(A77&gt;=2024)</f>
        <v>0</v>
      </c>
      <c r="E77" s="30">
        <f>MIN(1,(A77=Inputs!$C$19)*Inputs!$D$19+(A77=Inputs!$C$20)*Inputs!$D$20+(A77=Inputs!$C$21)*Inputs!$D$21*(A77 &gt;= a_afil))</f>
        <v>0</v>
      </c>
      <c r="F77" s="30">
        <f t="shared" si="16"/>
        <v>1</v>
      </c>
      <c r="G77" s="30">
        <f t="shared" si="17"/>
        <v>1</v>
      </c>
      <c r="H77" s="30">
        <v>5.0262808799743652E-2</v>
      </c>
      <c r="I77" s="37">
        <f t="shared" si="22"/>
        <v>0.57999999999999996</v>
      </c>
      <c r="J77" s="37">
        <f t="shared" si="23"/>
        <v>0.57999999999999996</v>
      </c>
      <c r="K77" s="30">
        <f>1*OR(Inputs!$D$17=$A77,Inputs!$E$17=$A77)*($E77=0)*(F77=1)</f>
        <v>0</v>
      </c>
      <c r="L77" s="30">
        <f>1*OR(Inputs!$D$17=$A77,Inputs!$E$17=$A77)*($E77=0)*(G77=1)</f>
        <v>0</v>
      </c>
      <c r="M77" s="73">
        <f t="shared" si="31"/>
        <v>449127.36302089959</v>
      </c>
      <c r="N77" s="73">
        <f t="shared" si="32"/>
        <v>449127.36302089959</v>
      </c>
      <c r="O77" s="55">
        <f>MIN(Parámetros!$E64, _xlfn.XLOOKUP($A77,agnos,tope_ref_col)*UF)*12*I77*$P$14</f>
        <v>598087.06584496039</v>
      </c>
      <c r="P77" s="55">
        <f>MIN(Parámetros!$E64, _xlfn.XLOOKUP($A77,agnos,tope_ref_col)*UF)*12*J77*$P$14</f>
        <v>598087.06584496039</v>
      </c>
      <c r="Q77" s="70">
        <f t="shared" si="18"/>
        <v>748545.60503483273</v>
      </c>
      <c r="R77" s="70">
        <f t="shared" si="19"/>
        <v>748545.60503483273</v>
      </c>
      <c r="S77" s="68">
        <f t="shared" si="27"/>
        <v>785972.88528657414</v>
      </c>
      <c r="T77" s="68">
        <f t="shared" si="28"/>
        <v>785972.88528657414</v>
      </c>
      <c r="U77" s="38"/>
      <c r="V77" s="55">
        <f>IF($A77&gt;Esc_6c!D$9,0,M77*alpha  +V76*(1+i_noc))</f>
        <v>5499958.6713765692</v>
      </c>
      <c r="W77" s="55">
        <f>IF($A77&gt;Esc_6c!E$9,0,N77*alpha  +W76*(1+i_noc))</f>
        <v>5499958.6713765692</v>
      </c>
      <c r="X77" s="55">
        <f>IF($A77&gt;Esc_6c!D$9,0,O77*(1-alpha)+X76*(1+i_noc))</f>
        <v>3138900.4051006055</v>
      </c>
      <c r="Y77" s="55">
        <f>IF($A77&gt;Esc_6c!E$9,0,P77*(1-alpha)+Y76*(1+i_noc))</f>
        <v>3138900.4051006055</v>
      </c>
      <c r="Z77" s="54">
        <f t="shared" si="20"/>
        <v>44068147.082114518</v>
      </c>
      <c r="AA77" s="54">
        <f t="shared" si="21"/>
        <v>44068147.082114518</v>
      </c>
      <c r="AB77" s="55">
        <f t="shared" si="29"/>
        <v>44392167.485414959</v>
      </c>
      <c r="AC77" s="55">
        <f t="shared" si="30"/>
        <v>44392167.485414959</v>
      </c>
      <c r="AD77" s="53">
        <f>D77*mmater*Parámetros!$G64*$W$14+AD76*(1+i_noc)</f>
        <v>0</v>
      </c>
      <c r="AE77" s="53">
        <f>E77*12*Parámetros!$F64*$W$14+AE76*(1+i_noc)</f>
        <v>1648397.0188583841</v>
      </c>
      <c r="AF77" s="53">
        <f t="shared" si="25"/>
        <v>175306.6207252988</v>
      </c>
      <c r="AG77" s="53">
        <f t="shared" si="26"/>
        <v>175306.6207252988</v>
      </c>
      <c r="AI77" s="74">
        <f>($A77=Esc_6c!D$9)*Z77/(12*_xlfn.XLOOKUP(AI$15,sexo_cnu,cnu))</f>
        <v>0</v>
      </c>
      <c r="AJ77" s="74">
        <f>($A77=Esc_6c!E$9)*AA77/(12*_xlfn.XLOOKUP(AJ$15,sexo_cnu,cnu))</f>
        <v>0</v>
      </c>
      <c r="AK77" s="74">
        <f>($A77=Esc_6c!D$9)*AB77/(12*_xlfn.XLOOKUP(AK$15,sexo_cnu,cnu))</f>
        <v>0</v>
      </c>
      <c r="AL77" s="74">
        <f>($A77=Esc_6c!E$9)*AC77/(12*_xlfn.XLOOKUP(AL$15,sexo_cnu,cnu))</f>
        <v>0</v>
      </c>
      <c r="AM77" s="53">
        <f>($A77=Esc_6c!D$9)*V77/(12*_xlfn.XLOOKUP(AM$15,sexo_cnu,cnu_noc))</f>
        <v>0</v>
      </c>
      <c r="AN77" s="53">
        <f>($A77=Esc_6c!E$9)*W77/(12*_xlfn.XLOOKUP(AN$15,sexo_cnu,cnu_noc))</f>
        <v>0</v>
      </c>
      <c r="AO77" s="53">
        <f>($A77=Esc_6c!D$9)*X77/(12*_xlfn.XLOOKUP(AO$15,sexo_cnu,cnu_noc))</f>
        <v>0</v>
      </c>
      <c r="AP77" s="53">
        <f>($A77=Esc_6c!E$9)*Y77/(12*_xlfn.XLOOKUP(AP$15,sexo_cnu,cnu_noc))</f>
        <v>0</v>
      </c>
      <c r="AQ77" s="53">
        <f>($A77=Esc_6c!E$9)*AD77/(12*_xlfn.XLOOKUP(AQ$15,sexo_cnu,cnu_noc))</f>
        <v>0</v>
      </c>
      <c r="AR77" s="53">
        <f>($A77=Esc_6c!E$9)*AE77/(12*_xlfn.XLOOKUP(AR$15,sexo_cnu,cnu_noc))</f>
        <v>0</v>
      </c>
      <c r="AS77" s="53">
        <f>($A77=Esc_6c!D$9)*AF77/(12*_xlfn.XLOOKUP(AS$15,sexo_cnu,cnu_noc))</f>
        <v>0</v>
      </c>
      <c r="AT77" s="53">
        <f>($A77=Esc_6c!E$9)*AG77/(12*_xlfn.XLOOKUP(AT$15,sexo_cnu,cnu_noc))</f>
        <v>0</v>
      </c>
      <c r="AU77" s="39"/>
      <c r="AV77" s="39"/>
    </row>
    <row r="78" spans="1:48" x14ac:dyDescent="0.25">
      <c r="A78" s="30">
        <v>2043</v>
      </c>
      <c r="B78" s="33">
        <f>w_uf*UF*Parámetros!C65</f>
        <v>1088940.2659450693</v>
      </c>
      <c r="C78" s="30">
        <f t="shared" si="15"/>
        <v>64</v>
      </c>
      <c r="D78" s="30">
        <f>((A78=Inputs!$C$12)*(Inputs!$D$12) + (A78=Inputs!$C$13)*(Inputs!$D$13) + (A78=Inputs!$C$14)*(Inputs!$D$14)) *(A78 &gt;= a_afil)*(A78&gt;=2024)</f>
        <v>0</v>
      </c>
      <c r="E78" s="30">
        <f>MIN(1,(A78=Inputs!$C$19)*Inputs!$D$19+(A78=Inputs!$C$20)*Inputs!$D$20+(A78=Inputs!$C$21)*Inputs!$D$21*(A78 &gt;= a_afil))</f>
        <v>0</v>
      </c>
      <c r="F78" s="30">
        <f t="shared" si="16"/>
        <v>1</v>
      </c>
      <c r="G78" s="30">
        <f t="shared" si="17"/>
        <v>1</v>
      </c>
      <c r="H78" s="30">
        <v>0.51801592111587524</v>
      </c>
      <c r="I78" s="37">
        <f t="shared" si="22"/>
        <v>0.57999999999999996</v>
      </c>
      <c r="J78" s="37">
        <f t="shared" si="23"/>
        <v>0.57999999999999996</v>
      </c>
      <c r="K78" s="30">
        <f>1*OR(Inputs!$D$17=$A78,Inputs!$E$17=$A78)*($E78=0)*(F78=1)</f>
        <v>0</v>
      </c>
      <c r="L78" s="30">
        <f>1*OR(Inputs!$D$17=$A78,Inputs!$E$17=$A78)*($E78=0)*(G78=1)</f>
        <v>0</v>
      </c>
      <c r="M78" s="73">
        <f t="shared" si="31"/>
        <v>454741.45505866082</v>
      </c>
      <c r="N78" s="73">
        <f t="shared" si="32"/>
        <v>454741.45505866082</v>
      </c>
      <c r="O78" s="55">
        <f>MIN(Parámetros!$E65, _xlfn.XLOOKUP($A78,agnos,tope_ref_col)*UF)*12*I78*$P$14</f>
        <v>605563.15416802221</v>
      </c>
      <c r="P78" s="55">
        <f>MIN(Parámetros!$E65, _xlfn.XLOOKUP($A78,agnos,tope_ref_col)*UF)*12*J78*$P$14</f>
        <v>605563.15416802221</v>
      </c>
      <c r="Q78" s="70">
        <f t="shared" si="18"/>
        <v>757902.42509776819</v>
      </c>
      <c r="R78" s="70">
        <f t="shared" si="19"/>
        <v>757902.42509776819</v>
      </c>
      <c r="S78" s="68">
        <f t="shared" si="27"/>
        <v>795797.54635265644</v>
      </c>
      <c r="T78" s="68">
        <f t="shared" si="28"/>
        <v>795797.54635265644</v>
      </c>
      <c r="U78" s="38"/>
      <c r="V78" s="55">
        <f>IF($A78&gt;Esc_6c!D$9,0,M78*alpha  +V77*(1+i_noc))</f>
        <v>5928276.8633451629</v>
      </c>
      <c r="W78" s="55">
        <f>IF($A78&gt;Esc_6c!E$9,0,N78*alpha  +W77*(1+i_noc))</f>
        <v>5928276.8633451629</v>
      </c>
      <c r="X78" s="55">
        <f>IF($A78&gt;Esc_6c!D$9,0,O78*(1-alpha)+X77*(1+i_noc))</f>
        <v>3383347.3594530243</v>
      </c>
      <c r="Y78" s="55">
        <f>IF($A78&gt;Esc_6c!E$9,0,P78*(1-alpha)+Y77*(1+i_noc))</f>
        <v>3383347.3594530243</v>
      </c>
      <c r="Z78" s="54">
        <f t="shared" si="20"/>
        <v>46315552.87858776</v>
      </c>
      <c r="AA78" s="54">
        <f t="shared" si="21"/>
        <v>46315552.87858776</v>
      </c>
      <c r="AB78" s="55">
        <f t="shared" si="29"/>
        <v>46629677.735659219</v>
      </c>
      <c r="AC78" s="55">
        <f t="shared" si="30"/>
        <v>46629677.735659219</v>
      </c>
      <c r="AD78" s="53">
        <f>D78*mmater*Parámetros!$G65*$W$14+AD77*(1+i_noc)</f>
        <v>0</v>
      </c>
      <c r="AE78" s="53">
        <f>E78*12*Parámetros!$F65*$W$14+AE77*(1+i_noc)</f>
        <v>1681364.9592355518</v>
      </c>
      <c r="AF78" s="53">
        <f t="shared" si="25"/>
        <v>178812.75313980479</v>
      </c>
      <c r="AG78" s="53">
        <f t="shared" si="26"/>
        <v>178812.75313980479</v>
      </c>
      <c r="AI78" s="74">
        <f>($A78=Esc_6c!D$9)*Z78/(12*_xlfn.XLOOKUP(AI$15,sexo_cnu,cnu))</f>
        <v>0</v>
      </c>
      <c r="AJ78" s="74">
        <f>($A78=Esc_6c!E$9)*AA78/(12*_xlfn.XLOOKUP(AJ$15,sexo_cnu,cnu))</f>
        <v>0</v>
      </c>
      <c r="AK78" s="74">
        <f>($A78=Esc_6c!D$9)*AB78/(12*_xlfn.XLOOKUP(AK$15,sexo_cnu,cnu))</f>
        <v>0</v>
      </c>
      <c r="AL78" s="74">
        <f>($A78=Esc_6c!E$9)*AC78/(12*_xlfn.XLOOKUP(AL$15,sexo_cnu,cnu))</f>
        <v>0</v>
      </c>
      <c r="AM78" s="53">
        <f>($A78=Esc_6c!D$9)*V78/(12*_xlfn.XLOOKUP(AM$15,sexo_cnu,cnu_noc))</f>
        <v>0</v>
      </c>
      <c r="AN78" s="53">
        <f>($A78=Esc_6c!E$9)*W78/(12*_xlfn.XLOOKUP(AN$15,sexo_cnu,cnu_noc))</f>
        <v>0</v>
      </c>
      <c r="AO78" s="53">
        <f>($A78=Esc_6c!D$9)*X78/(12*_xlfn.XLOOKUP(AO$15,sexo_cnu,cnu_noc))</f>
        <v>0</v>
      </c>
      <c r="AP78" s="53">
        <f>($A78=Esc_6c!E$9)*Y78/(12*_xlfn.XLOOKUP(AP$15,sexo_cnu,cnu_noc))</f>
        <v>0</v>
      </c>
      <c r="AQ78" s="53">
        <f>($A78=Esc_6c!E$9)*AD78/(12*_xlfn.XLOOKUP(AQ$15,sexo_cnu,cnu_noc))</f>
        <v>0</v>
      </c>
      <c r="AR78" s="53">
        <f>($A78=Esc_6c!E$9)*AE78/(12*_xlfn.XLOOKUP(AR$15,sexo_cnu,cnu_noc))</f>
        <v>0</v>
      </c>
      <c r="AS78" s="53">
        <f>($A78=Esc_6c!D$9)*AF78/(12*_xlfn.XLOOKUP(AS$15,sexo_cnu,cnu_noc))</f>
        <v>0</v>
      </c>
      <c r="AT78" s="53">
        <f>($A78=Esc_6c!E$9)*AG78/(12*_xlfn.XLOOKUP(AT$15,sexo_cnu,cnu_noc))</f>
        <v>0</v>
      </c>
      <c r="AU78" s="39"/>
      <c r="AV78" s="39"/>
    </row>
    <row r="79" spans="1:48" x14ac:dyDescent="0.25">
      <c r="A79" s="30">
        <v>2044</v>
      </c>
      <c r="B79" s="33">
        <f>w_uf*UF*Parámetros!C66</f>
        <v>1102552.0192693826</v>
      </c>
      <c r="C79" s="30">
        <f t="shared" si="15"/>
        <v>65</v>
      </c>
      <c r="D79" s="30">
        <f>((A79=Inputs!$C$12)*(Inputs!$D$12) + (A79=Inputs!$C$13)*(Inputs!$D$13) + (A79=Inputs!$C$14)*(Inputs!$D$14)) *(A79 &gt;= a_afil)*(A79&gt;=2024)</f>
        <v>0</v>
      </c>
      <c r="E79" s="30">
        <f>MIN(1,(A79=Inputs!$C$19)*Inputs!$D$19+(A79=Inputs!$C$20)*Inputs!$D$20+(A79=Inputs!$C$21)*Inputs!$D$21*(A79 &gt;= a_afil))</f>
        <v>0</v>
      </c>
      <c r="F79" s="30">
        <f t="shared" si="16"/>
        <v>0</v>
      </c>
      <c r="G79" s="30">
        <f t="shared" si="17"/>
        <v>0</v>
      </c>
      <c r="H79" s="30">
        <v>0.75702953338623047</v>
      </c>
      <c r="I79" s="37">
        <f t="shared" si="22"/>
        <v>0</v>
      </c>
      <c r="J79" s="37">
        <f t="shared" si="23"/>
        <v>0</v>
      </c>
      <c r="K79" s="30">
        <f>1*OR(Inputs!$D$17=$A79,Inputs!$E$17=$A79)*($E79=0)*(F79=1)</f>
        <v>0</v>
      </c>
      <c r="L79" s="30">
        <f>1*OR(Inputs!$D$17=$A79,Inputs!$E$17=$A79)*($E79=0)*(G79=1)</f>
        <v>0</v>
      </c>
      <c r="M79" s="73">
        <f t="shared" si="31"/>
        <v>0</v>
      </c>
      <c r="N79" s="73">
        <f t="shared" si="32"/>
        <v>0</v>
      </c>
      <c r="O79" s="55">
        <f>MIN(Parámetros!$E66, _xlfn.XLOOKUP($A79,agnos,tope_ref_col)*UF)*12*I79*$P$14</f>
        <v>0</v>
      </c>
      <c r="P79" s="55">
        <f>MIN(Parámetros!$E66, _xlfn.XLOOKUP($A79,agnos,tope_ref_col)*UF)*12*J79*$P$14</f>
        <v>0</v>
      </c>
      <c r="Q79" s="70">
        <f t="shared" si="18"/>
        <v>0</v>
      </c>
      <c r="R79" s="70">
        <f t="shared" si="19"/>
        <v>0</v>
      </c>
      <c r="S79" s="68">
        <f t="shared" si="27"/>
        <v>0</v>
      </c>
      <c r="T79" s="68">
        <f t="shared" si="28"/>
        <v>0</v>
      </c>
      <c r="U79" s="38"/>
      <c r="V79" s="55">
        <f>IF($A79&gt;Esc_6c!D$9,0,M79*alpha  +V78*(1+i_noc))</f>
        <v>6046842.4006120665</v>
      </c>
      <c r="W79" s="55">
        <f>IF($A79&gt;Esc_6c!E$9,0,N79*alpha  +W78*(1+i_noc))</f>
        <v>6046842.4006120665</v>
      </c>
      <c r="X79" s="55">
        <f>IF($A79&gt;Esc_6c!D$9,0,O79*(1-alpha)+X78*(1+i_noc))</f>
        <v>3451014.3066420848</v>
      </c>
      <c r="Y79" s="55">
        <f>IF($A79&gt;Esc_6c!E$9,0,P79*(1-alpha)+Y78*(1+i_noc))</f>
        <v>3451014.3066420848</v>
      </c>
      <c r="Z79" s="54">
        <f t="shared" si="20"/>
        <v>47881018.565884031</v>
      </c>
      <c r="AA79" s="54">
        <f t="shared" si="21"/>
        <v>47881018.565884031</v>
      </c>
      <c r="AB79" s="55">
        <f t="shared" si="29"/>
        <v>48144057.469245307</v>
      </c>
      <c r="AC79" s="55">
        <f t="shared" si="30"/>
        <v>48144057.469245307</v>
      </c>
      <c r="AD79" s="53">
        <f>D79*mmater*Parámetros!$G66*$W$14+AD78*(1+i_noc)</f>
        <v>0</v>
      </c>
      <c r="AE79" s="53">
        <f>E79*12*Parámetros!$F66*$W$14+AE78*(1+i_noc)</f>
        <v>1714992.2584202627</v>
      </c>
      <c r="AF79" s="53">
        <f t="shared" si="25"/>
        <v>182389.00820260087</v>
      </c>
      <c r="AG79" s="53">
        <f t="shared" si="26"/>
        <v>182389.00820260087</v>
      </c>
      <c r="AI79" s="74">
        <f>($A79=Esc_6c!D$9)*Z79/(12*_xlfn.XLOOKUP(AI$15,sexo_cnu,cnu))</f>
        <v>249562.18907357016</v>
      </c>
      <c r="AJ79" s="74">
        <f>($A79=Esc_6c!E$9)*AA79/(12*_xlfn.XLOOKUP(AJ$15,sexo_cnu,cnu))</f>
        <v>222428.64055623682</v>
      </c>
      <c r="AK79" s="74">
        <f>($A79=Esc_6c!D$9)*AB79/(12*_xlfn.XLOOKUP(AK$15,sexo_cnu,cnu))</f>
        <v>250933.18255909981</v>
      </c>
      <c r="AL79" s="74">
        <f>($A79=Esc_6c!E$9)*AC79/(12*_xlfn.XLOOKUP(AL$15,sexo_cnu,cnu))</f>
        <v>223650.57332710188</v>
      </c>
      <c r="AM79" s="53">
        <f>($A79=Esc_6c!D$9)*V79/(12*_xlfn.XLOOKUP(AM$15,sexo_cnu,cnu_noc))</f>
        <v>26018.270510941446</v>
      </c>
      <c r="AN79" s="53">
        <f>($A79=Esc_6c!E$9)*W79/(12*_xlfn.XLOOKUP(AN$15,sexo_cnu,cnu_noc))</f>
        <v>26018.270510941446</v>
      </c>
      <c r="AO79" s="53">
        <f>($A79=Esc_6c!D$9)*X79/(12*_xlfn.XLOOKUP(AO$15,sexo_cnu,cnu_noc))</f>
        <v>14848.977006289138</v>
      </c>
      <c r="AP79" s="53">
        <f>($A79=Esc_6c!E$9)*Y79/(12*_xlfn.XLOOKUP(AP$15,sexo_cnu,cnu_noc))</f>
        <v>14848.977006289138</v>
      </c>
      <c r="AQ79" s="53">
        <f>($A79=Esc_6c!E$9)*AD79/(12*_xlfn.XLOOKUP(AQ$15,sexo_cnu,cnu_noc))</f>
        <v>0</v>
      </c>
      <c r="AR79" s="53">
        <f>($A79=Esc_6c!E$9)*AE79/(12*_xlfn.XLOOKUP(AR$15,sexo_cnu,cnu_noc))</f>
        <v>7379.2451576433023</v>
      </c>
      <c r="AS79" s="53">
        <f>($A79=Esc_6c!D$9)*AF79/(12*_xlfn.XLOOKUP(AS$15,sexo_cnu,cnu_noc))</f>
        <v>784.7809218836677</v>
      </c>
      <c r="AT79" s="53">
        <f>($A79=Esc_6c!E$9)*AG79/(12*_xlfn.XLOOKUP(AT$15,sexo_cnu,cnu_noc))</f>
        <v>784.7809218836677</v>
      </c>
      <c r="AU79" s="39"/>
      <c r="AV79" s="39"/>
    </row>
    <row r="80" spans="1:48" x14ac:dyDescent="0.25">
      <c r="A80" s="30">
        <v>2045</v>
      </c>
      <c r="B80" s="33">
        <f>w_uf*UF*Parámetros!C67</f>
        <v>1116333.9195102497</v>
      </c>
      <c r="C80" s="30">
        <f t="shared" ref="C80:C111" si="33">IF(AND(A80-a_nac&lt;=110,A80-a_nac&gt;0),A80-a_nac,"")</f>
        <v>66</v>
      </c>
      <c r="D80" s="30">
        <f>((A80=Inputs!$C$12)*(Inputs!$D$12) + (A80=Inputs!$C$13)*(Inputs!$D$13) + (A80=Inputs!$C$14)*(Inputs!$D$14)) *(A80 &gt;= a_afil)*(A80&gt;=2024)</f>
        <v>0</v>
      </c>
      <c r="E80" s="30">
        <f>MIN(1,(A80=Inputs!$C$19)*Inputs!$D$19+(A80=Inputs!$C$20)*Inputs!$D$20+(A80=Inputs!$C$21)*Inputs!$D$21*(A80 &gt;= a_afil))</f>
        <v>0</v>
      </c>
      <c r="F80" s="30">
        <f t="shared" ref="F80:F111" si="34" xml:space="preserve"> (C80&lt;edad_ret_h) * (A80&gt;=a_afil)</f>
        <v>0</v>
      </c>
      <c r="G80" s="30">
        <f t="shared" ref="G80:G111" si="35" xml:space="preserve"> (C80&lt;edad_ret_m) * (A80&gt;=a_afil)</f>
        <v>0</v>
      </c>
      <c r="H80" s="30">
        <v>0.80066984891891479</v>
      </c>
      <c r="I80" s="37">
        <f t="shared" si="22"/>
        <v>0</v>
      </c>
      <c r="J80" s="37">
        <f t="shared" si="23"/>
        <v>0</v>
      </c>
      <c r="K80" s="30">
        <f>1*OR(Inputs!$D$17=$A80,Inputs!$E$17=$A80)*($E80=0)*(F80=1)</f>
        <v>0</v>
      </c>
      <c r="L80" s="30">
        <f>1*OR(Inputs!$D$17=$A80,Inputs!$E$17=$A80)*($E80=0)*(G80=1)</f>
        <v>0</v>
      </c>
      <c r="M80" s="73">
        <f t="shared" si="31"/>
        <v>0</v>
      </c>
      <c r="N80" s="73">
        <f t="shared" si="32"/>
        <v>0</v>
      </c>
      <c r="O80" s="55">
        <f>MIN(Parámetros!$E67, _xlfn.XLOOKUP($A80,agnos,tope_ref_col)*UF)*12*I80*$P$14</f>
        <v>0</v>
      </c>
      <c r="P80" s="55">
        <f>MIN(Parámetros!$E67, _xlfn.XLOOKUP($A80,agnos,tope_ref_col)*UF)*12*J80*$P$14</f>
        <v>0</v>
      </c>
      <c r="Q80" s="70">
        <f t="shared" ref="Q80:Q111" si="36">MIN($B80,_xlfn.XLOOKUP($A80,agnos,tope_base)*UF)*12*I80*$X$2</f>
        <v>0</v>
      </c>
      <c r="R80" s="70">
        <f t="shared" ref="R80:R111" si="37">MIN($B80,_xlfn.XLOOKUP($A80,agnos,tope_base)*UF)*12*J80*$X$2</f>
        <v>0</v>
      </c>
      <c r="S80" s="68">
        <f t="shared" si="27"/>
        <v>0</v>
      </c>
      <c r="T80" s="68">
        <f t="shared" si="28"/>
        <v>0</v>
      </c>
      <c r="U80" s="38"/>
      <c r="V80" s="55">
        <f>IF($A80&gt;Esc_6c!D$9,0,M80*alpha  +V79*(1+i_noc))</f>
        <v>0</v>
      </c>
      <c r="W80" s="55">
        <f>IF($A80&gt;Esc_6c!E$9,0,N80*alpha  +W79*(1+i_noc))</f>
        <v>0</v>
      </c>
      <c r="X80" s="55">
        <f>IF($A80&gt;Esc_6c!D$9,0,O80*(1-alpha)+X79*(1+i_noc))</f>
        <v>0</v>
      </c>
      <c r="Y80" s="55">
        <f>IF($A80&gt;Esc_6c!E$9,0,P80*(1-alpha)+Y79*(1+i_noc))</f>
        <v>0</v>
      </c>
      <c r="Z80" s="54">
        <f t="shared" si="20"/>
        <v>0</v>
      </c>
      <c r="AA80" s="54">
        <f t="shared" si="21"/>
        <v>0</v>
      </c>
      <c r="AB80" s="55">
        <f t="shared" si="29"/>
        <v>0</v>
      </c>
      <c r="AC80" s="55">
        <f t="shared" si="30"/>
        <v>0</v>
      </c>
      <c r="AD80" s="53">
        <f>D80*mmater*Parámetros!$G67*$W$14+AD79*(1+i_noc)</f>
        <v>0</v>
      </c>
      <c r="AE80" s="53">
        <f>E80*12*Parámetros!$F67*$W$14+AE79*(1+i_noc)</f>
        <v>1749292.1035886679</v>
      </c>
      <c r="AF80" s="53">
        <f t="shared" si="25"/>
        <v>186036.78836665291</v>
      </c>
      <c r="AG80" s="53">
        <f t="shared" si="26"/>
        <v>186036.78836665291</v>
      </c>
      <c r="AI80" s="74">
        <f>($A80=Esc_6c!D$9)*Z80/(12*_xlfn.XLOOKUP(AI$15,sexo_cnu,cnu))</f>
        <v>0</v>
      </c>
      <c r="AJ80" s="74">
        <f>($A80=Esc_6c!E$9)*AA80/(12*_xlfn.XLOOKUP(AJ$15,sexo_cnu,cnu))</f>
        <v>0</v>
      </c>
      <c r="AK80" s="74">
        <f>($A80=Esc_6c!D$9)*AB80/(12*_xlfn.XLOOKUP(AK$15,sexo_cnu,cnu))</f>
        <v>0</v>
      </c>
      <c r="AL80" s="74">
        <f>($A80=Esc_6c!E$9)*AC80/(12*_xlfn.XLOOKUP(AL$15,sexo_cnu,cnu))</f>
        <v>0</v>
      </c>
      <c r="AM80" s="53">
        <f>($A80=Esc_6c!D$9)*V80/(12*_xlfn.XLOOKUP(AM$15,sexo_cnu,cnu_noc))</f>
        <v>0</v>
      </c>
      <c r="AN80" s="53">
        <f>($A80=Esc_6c!E$9)*W80/(12*_xlfn.XLOOKUP(AN$15,sexo_cnu,cnu_noc))</f>
        <v>0</v>
      </c>
      <c r="AO80" s="53">
        <f>($A80=Esc_6c!D$9)*X80/(12*_xlfn.XLOOKUP(AO$15,sexo_cnu,cnu_noc))</f>
        <v>0</v>
      </c>
      <c r="AP80" s="53">
        <f>($A80=Esc_6c!E$9)*Y80/(12*_xlfn.XLOOKUP(AP$15,sexo_cnu,cnu_noc))</f>
        <v>0</v>
      </c>
      <c r="AQ80" s="53">
        <f>($A80=Esc_6c!E$9)*AD80/(12*_xlfn.XLOOKUP(AQ$15,sexo_cnu,cnu_noc))</f>
        <v>0</v>
      </c>
      <c r="AR80" s="53">
        <f>($A80=Esc_6c!E$9)*AE80/(12*_xlfn.XLOOKUP(AR$15,sexo_cnu,cnu_noc))</f>
        <v>0</v>
      </c>
      <c r="AS80" s="53">
        <f>($A80=Esc_6c!D$9)*AF80/(12*_xlfn.XLOOKUP(AS$15,sexo_cnu,cnu_noc))</f>
        <v>0</v>
      </c>
      <c r="AT80" s="53">
        <f>($A80=Esc_6c!E$9)*AG80/(12*_xlfn.XLOOKUP(AT$15,sexo_cnu,cnu_noc))</f>
        <v>0</v>
      </c>
      <c r="AU80" s="39"/>
      <c r="AV80" s="39"/>
    </row>
    <row r="81" spans="1:48" x14ac:dyDescent="0.25">
      <c r="A81" s="30">
        <v>2046</v>
      </c>
      <c r="B81" s="33">
        <f>w_uf*UF*Parámetros!C68</f>
        <v>1130288.0935041278</v>
      </c>
      <c r="C81" s="30">
        <f t="shared" si="33"/>
        <v>67</v>
      </c>
      <c r="D81" s="30">
        <f>((A81=Inputs!$C$12)*(Inputs!$D$12) + (A81=Inputs!$C$13)*(Inputs!$D$13) + (A81=Inputs!$C$14)*(Inputs!$D$14)) *(A81 &gt;= a_afil)*(A81&gt;=2024)</f>
        <v>0</v>
      </c>
      <c r="E81" s="30">
        <f>MIN(1,(A81=Inputs!$C$19)*Inputs!$D$19+(A81=Inputs!$C$20)*Inputs!$D$20+(A81=Inputs!$C$21)*Inputs!$D$21*(A81 &gt;= a_afil))</f>
        <v>0</v>
      </c>
      <c r="F81" s="30">
        <f t="shared" si="34"/>
        <v>0</v>
      </c>
      <c r="G81" s="30">
        <f t="shared" si="35"/>
        <v>0</v>
      </c>
      <c r="H81" s="30">
        <v>0.32520544528961182</v>
      </c>
      <c r="I81" s="37">
        <f t="shared" si="22"/>
        <v>0</v>
      </c>
      <c r="J81" s="37">
        <f t="shared" si="23"/>
        <v>0</v>
      </c>
      <c r="K81" s="30">
        <f>1*OR(Inputs!$D$17=$A81,Inputs!$E$17=$A81)*($E81=0)*(F81=1)</f>
        <v>0</v>
      </c>
      <c r="L81" s="30">
        <f>1*OR(Inputs!$D$17=$A81,Inputs!$E$17=$A81)*($E81=0)*(G81=1)</f>
        <v>0</v>
      </c>
      <c r="M81" s="73">
        <f t="shared" si="31"/>
        <v>0</v>
      </c>
      <c r="N81" s="73">
        <f t="shared" si="32"/>
        <v>0</v>
      </c>
      <c r="O81" s="55">
        <f>MIN(Parámetros!$E68, _xlfn.XLOOKUP($A81,agnos,tope_ref_col)*UF)*12*I81*$P$14</f>
        <v>0</v>
      </c>
      <c r="P81" s="55">
        <f>MIN(Parámetros!$E68, _xlfn.XLOOKUP($A81,agnos,tope_ref_col)*UF)*12*J81*$P$14</f>
        <v>0</v>
      </c>
      <c r="Q81" s="70">
        <f t="shared" si="36"/>
        <v>0</v>
      </c>
      <c r="R81" s="70">
        <f t="shared" si="37"/>
        <v>0</v>
      </c>
      <c r="S81" s="68">
        <f t="shared" si="27"/>
        <v>0</v>
      </c>
      <c r="T81" s="68">
        <f t="shared" si="28"/>
        <v>0</v>
      </c>
      <c r="U81" s="38"/>
      <c r="V81" s="55">
        <f>IF($A81&gt;Esc_6c!D$9,0,M81*alpha  +V80*(1+i_noc))</f>
        <v>0</v>
      </c>
      <c r="W81" s="55">
        <f>IF($A81&gt;Esc_6c!E$9,0,N81*alpha  +W80*(1+i_noc))</f>
        <v>0</v>
      </c>
      <c r="X81" s="55">
        <f>IF($A81&gt;Esc_6c!D$9,0,O81*(1-alpha)+X80*(1+i_noc))</f>
        <v>0</v>
      </c>
      <c r="Y81" s="55">
        <f>IF($A81&gt;Esc_6c!E$9,0,P81*(1-alpha)+Y80*(1+i_noc))</f>
        <v>0</v>
      </c>
      <c r="Z81" s="54">
        <f t="shared" ref="Z81:Z112" si="38">F80*Z80*(1+_xlfn.XLOOKUP(MIN(2024,$A80),agnos_rent,rent_base))+Q81</f>
        <v>0</v>
      </c>
      <c r="AA81" s="54">
        <f t="shared" ref="AA81:AA112" si="39">G80*AA80*(1+_xlfn.XLOOKUP(MIN(2024,$A80),agnos_rent,rent_base))+R81</f>
        <v>0</v>
      </c>
      <c r="AB81" s="55">
        <f t="shared" si="29"/>
        <v>0</v>
      </c>
      <c r="AC81" s="55">
        <f t="shared" si="30"/>
        <v>0</v>
      </c>
      <c r="AD81" s="53">
        <f>D81*mmater*Parámetros!$G68*$W$14+AD80*(1+i_noc)</f>
        <v>0</v>
      </c>
      <c r="AE81" s="53">
        <f>E81*12*Parámetros!$F68*$W$14+AE80*(1+i_noc)</f>
        <v>1784277.9456604414</v>
      </c>
      <c r="AF81" s="53">
        <f t="shared" si="25"/>
        <v>189757.52413398598</v>
      </c>
      <c r="AG81" s="53">
        <f t="shared" si="26"/>
        <v>189757.52413398598</v>
      </c>
      <c r="AI81" s="74">
        <f>($A81=Esc_6c!D$9)*Z81/(12*_xlfn.XLOOKUP(AI$15,sexo_cnu,cnu))</f>
        <v>0</v>
      </c>
      <c r="AJ81" s="74">
        <f>($A81=Esc_6c!E$9)*AA81/(12*_xlfn.XLOOKUP(AJ$15,sexo_cnu,cnu))</f>
        <v>0</v>
      </c>
      <c r="AK81" s="74">
        <f>($A81=Esc_6c!D$9)*AB81/(12*_xlfn.XLOOKUP(AK$15,sexo_cnu,cnu))</f>
        <v>0</v>
      </c>
      <c r="AL81" s="74">
        <f>($A81=Esc_6c!E$9)*AC81/(12*_xlfn.XLOOKUP(AL$15,sexo_cnu,cnu))</f>
        <v>0</v>
      </c>
      <c r="AM81" s="53">
        <f>($A81=Esc_6c!D$9)*V81/(12*_xlfn.XLOOKUP(AM$15,sexo_cnu,cnu_noc))</f>
        <v>0</v>
      </c>
      <c r="AN81" s="53">
        <f>($A81=Esc_6c!E$9)*W81/(12*_xlfn.XLOOKUP(AN$15,sexo_cnu,cnu_noc))</f>
        <v>0</v>
      </c>
      <c r="AO81" s="53">
        <f>($A81=Esc_6c!D$9)*X81/(12*_xlfn.XLOOKUP(AO$15,sexo_cnu,cnu_noc))</f>
        <v>0</v>
      </c>
      <c r="AP81" s="53">
        <f>($A81=Esc_6c!E$9)*Y81/(12*_xlfn.XLOOKUP(AP$15,sexo_cnu,cnu_noc))</f>
        <v>0</v>
      </c>
      <c r="AQ81" s="53">
        <f>($A81=Esc_6c!E$9)*AD81/(12*_xlfn.XLOOKUP(AQ$15,sexo_cnu,cnu_noc))</f>
        <v>0</v>
      </c>
      <c r="AR81" s="53">
        <f>($A81=Esc_6c!E$9)*AE81/(12*_xlfn.XLOOKUP(AR$15,sexo_cnu,cnu_noc))</f>
        <v>0</v>
      </c>
      <c r="AS81" s="53">
        <f>($A81=Esc_6c!D$9)*AF81/(12*_xlfn.XLOOKUP(AS$15,sexo_cnu,cnu_noc))</f>
        <v>0</v>
      </c>
      <c r="AT81" s="53">
        <f>($A81=Esc_6c!E$9)*AG81/(12*_xlfn.XLOOKUP(AT$15,sexo_cnu,cnu_noc))</f>
        <v>0</v>
      </c>
      <c r="AU81" s="39"/>
      <c r="AV81" s="39"/>
    </row>
    <row r="82" spans="1:48" x14ac:dyDescent="0.25">
      <c r="A82" s="30">
        <v>2047</v>
      </c>
      <c r="B82" s="33">
        <f>w_uf*UF*Parámetros!C69</f>
        <v>1144416.6946729294</v>
      </c>
      <c r="C82" s="30">
        <f t="shared" si="33"/>
        <v>68</v>
      </c>
      <c r="D82" s="30">
        <f>((A82=Inputs!$C$12)*(Inputs!$D$12) + (A82=Inputs!$C$13)*(Inputs!$D$13) + (A82=Inputs!$C$14)*(Inputs!$D$14)) *(A82 &gt;= a_afil)*(A82&gt;=2024)</f>
        <v>0</v>
      </c>
      <c r="E82" s="30">
        <f>MIN(1,(A82=Inputs!$C$19)*Inputs!$D$19+(A82=Inputs!$C$20)*Inputs!$D$20+(A82=Inputs!$C$21)*Inputs!$D$21*(A82 &gt;= a_afil))</f>
        <v>0</v>
      </c>
      <c r="F82" s="30">
        <f t="shared" si="34"/>
        <v>0</v>
      </c>
      <c r="G82" s="30">
        <f t="shared" si="35"/>
        <v>0</v>
      </c>
      <c r="H82" s="30">
        <v>0.97272902727127075</v>
      </c>
      <c r="I82" s="37">
        <f t="shared" si="22"/>
        <v>0</v>
      </c>
      <c r="J82" s="37">
        <f t="shared" si="23"/>
        <v>0</v>
      </c>
      <c r="K82" s="30">
        <f>1*OR(Inputs!$D$17=$A82,Inputs!$E$17=$A82)*($E82=0)*(F82=1)</f>
        <v>0</v>
      </c>
      <c r="L82" s="30">
        <f>1*OR(Inputs!$D$17=$A82,Inputs!$E$17=$A82)*($E82=0)*(G82=1)</f>
        <v>0</v>
      </c>
      <c r="M82" s="73">
        <f t="shared" si="31"/>
        <v>0</v>
      </c>
      <c r="N82" s="73">
        <f t="shared" si="32"/>
        <v>0</v>
      </c>
      <c r="O82" s="55">
        <f>MIN(Parámetros!$E69, _xlfn.XLOOKUP($A82,agnos,tope_ref_col)*UF)*12*I82*$P$14</f>
        <v>0</v>
      </c>
      <c r="P82" s="55">
        <f>MIN(Parámetros!$E69, _xlfn.XLOOKUP($A82,agnos,tope_ref_col)*UF)*12*J82*$P$14</f>
        <v>0</v>
      </c>
      <c r="Q82" s="70">
        <f t="shared" si="36"/>
        <v>0</v>
      </c>
      <c r="R82" s="70">
        <f t="shared" si="37"/>
        <v>0</v>
      </c>
      <c r="S82" s="68">
        <f t="shared" si="27"/>
        <v>0</v>
      </c>
      <c r="T82" s="68">
        <f t="shared" si="28"/>
        <v>0</v>
      </c>
      <c r="U82" s="38"/>
      <c r="V82" s="55">
        <f>IF($A82&gt;Esc_6c!D$9,0,M82*alpha  +V81*(1+i_noc))</f>
        <v>0</v>
      </c>
      <c r="W82" s="55">
        <f>IF($A82&gt;Esc_6c!E$9,0,N82*alpha  +W81*(1+i_noc))</f>
        <v>0</v>
      </c>
      <c r="X82" s="55">
        <f>IF($A82&gt;Esc_6c!D$9,0,O82*(1-alpha)+X81*(1+i_noc))</f>
        <v>0</v>
      </c>
      <c r="Y82" s="55">
        <f>IF($A82&gt;Esc_6c!E$9,0,P82*(1-alpha)+Y81*(1+i_noc))</f>
        <v>0</v>
      </c>
      <c r="Z82" s="54">
        <f t="shared" si="38"/>
        <v>0</v>
      </c>
      <c r="AA82" s="54">
        <f t="shared" si="39"/>
        <v>0</v>
      </c>
      <c r="AB82" s="55">
        <f t="shared" si="29"/>
        <v>0</v>
      </c>
      <c r="AC82" s="55">
        <f t="shared" si="30"/>
        <v>0</v>
      </c>
      <c r="AD82" s="53">
        <f>D82*mmater*Parámetros!$G69*$W$14+AD81*(1+i_noc)</f>
        <v>0</v>
      </c>
      <c r="AE82" s="53">
        <f>E82*12*Parámetros!$F69*$W$14+AE81*(1+i_noc)</f>
        <v>1819963.5045736502</v>
      </c>
      <c r="AF82" s="53">
        <f t="shared" si="25"/>
        <v>193552.6746166657</v>
      </c>
      <c r="AG82" s="53">
        <f t="shared" si="26"/>
        <v>193552.6746166657</v>
      </c>
      <c r="AI82" s="74">
        <f>($A82=Esc_6c!D$9)*Z82/(12*_xlfn.XLOOKUP(AI$15,sexo_cnu,cnu))</f>
        <v>0</v>
      </c>
      <c r="AJ82" s="74">
        <f>($A82=Esc_6c!E$9)*AA82/(12*_xlfn.XLOOKUP(AJ$15,sexo_cnu,cnu))</f>
        <v>0</v>
      </c>
      <c r="AK82" s="74">
        <f>($A82=Esc_6c!D$9)*AB82/(12*_xlfn.XLOOKUP(AK$15,sexo_cnu,cnu))</f>
        <v>0</v>
      </c>
      <c r="AL82" s="74">
        <f>($A82=Esc_6c!E$9)*AC82/(12*_xlfn.XLOOKUP(AL$15,sexo_cnu,cnu))</f>
        <v>0</v>
      </c>
      <c r="AM82" s="53">
        <f>($A82=Esc_6c!D$9)*V82/(12*_xlfn.XLOOKUP(AM$15,sexo_cnu,cnu_noc))</f>
        <v>0</v>
      </c>
      <c r="AN82" s="53">
        <f>($A82=Esc_6c!E$9)*W82/(12*_xlfn.XLOOKUP(AN$15,sexo_cnu,cnu_noc))</f>
        <v>0</v>
      </c>
      <c r="AO82" s="53">
        <f>($A82=Esc_6c!D$9)*X82/(12*_xlfn.XLOOKUP(AO$15,sexo_cnu,cnu_noc))</f>
        <v>0</v>
      </c>
      <c r="AP82" s="53">
        <f>($A82=Esc_6c!E$9)*Y82/(12*_xlfn.XLOOKUP(AP$15,sexo_cnu,cnu_noc))</f>
        <v>0</v>
      </c>
      <c r="AQ82" s="53">
        <f>($A82=Esc_6c!E$9)*AD82/(12*_xlfn.XLOOKUP(AQ$15,sexo_cnu,cnu_noc))</f>
        <v>0</v>
      </c>
      <c r="AR82" s="53">
        <f>($A82=Esc_6c!E$9)*AE82/(12*_xlfn.XLOOKUP(AR$15,sexo_cnu,cnu_noc))</f>
        <v>0</v>
      </c>
      <c r="AS82" s="53">
        <f>($A82=Esc_6c!D$9)*AF82/(12*_xlfn.XLOOKUP(AS$15,sexo_cnu,cnu_noc))</f>
        <v>0</v>
      </c>
      <c r="AT82" s="53">
        <f>($A82=Esc_6c!E$9)*AG82/(12*_xlfn.XLOOKUP(AT$15,sexo_cnu,cnu_noc))</f>
        <v>0</v>
      </c>
      <c r="AU82" s="39"/>
      <c r="AV82" s="39"/>
    </row>
    <row r="83" spans="1:48" x14ac:dyDescent="0.25">
      <c r="A83" s="30">
        <v>2048</v>
      </c>
      <c r="B83" s="33">
        <f>w_uf*UF*Parámetros!C70</f>
        <v>1158721.9033563409</v>
      </c>
      <c r="C83" s="30">
        <f t="shared" si="33"/>
        <v>69</v>
      </c>
      <c r="D83" s="30">
        <f>((A83=Inputs!$C$12)*(Inputs!$D$12) + (A83=Inputs!$C$13)*(Inputs!$D$13) + (A83=Inputs!$C$14)*(Inputs!$D$14)) *(A83 &gt;= a_afil)*(A83&gt;=2024)</f>
        <v>0</v>
      </c>
      <c r="E83" s="30">
        <f>MIN(1,(A83=Inputs!$C$19)*Inputs!$D$19+(A83=Inputs!$C$20)*Inputs!$D$20+(A83=Inputs!$C$21)*Inputs!$D$21*(A83 &gt;= a_afil))</f>
        <v>0</v>
      </c>
      <c r="F83" s="30">
        <f t="shared" si="34"/>
        <v>0</v>
      </c>
      <c r="G83" s="30">
        <f t="shared" si="35"/>
        <v>0</v>
      </c>
      <c r="H83" s="30">
        <v>0.80426716804504395</v>
      </c>
      <c r="I83" s="37">
        <f t="shared" si="22"/>
        <v>0</v>
      </c>
      <c r="J83" s="37">
        <f t="shared" si="23"/>
        <v>0</v>
      </c>
      <c r="K83" s="30">
        <f>1*OR(Inputs!$D$17=$A83,Inputs!$E$17=$A83)*($E83=0)*(F83=1)</f>
        <v>0</v>
      </c>
      <c r="L83" s="30">
        <f>1*OR(Inputs!$D$17=$A83,Inputs!$E$17=$A83)*($E83=0)*(G83=1)</f>
        <v>0</v>
      </c>
      <c r="M83" s="73">
        <f t="shared" si="31"/>
        <v>0</v>
      </c>
      <c r="N83" s="73">
        <f t="shared" si="32"/>
        <v>0</v>
      </c>
      <c r="O83" s="55">
        <f>MIN(Parámetros!$E70, _xlfn.XLOOKUP($A83,agnos,tope_ref_col)*UF)*12*I83*$P$14</f>
        <v>0</v>
      </c>
      <c r="P83" s="55">
        <f>MIN(Parámetros!$E70, _xlfn.XLOOKUP($A83,agnos,tope_ref_col)*UF)*12*J83*$P$14</f>
        <v>0</v>
      </c>
      <c r="Q83" s="70">
        <f t="shared" si="36"/>
        <v>0</v>
      </c>
      <c r="R83" s="70">
        <f t="shared" si="37"/>
        <v>0</v>
      </c>
      <c r="S83" s="68">
        <f t="shared" si="27"/>
        <v>0</v>
      </c>
      <c r="T83" s="68">
        <f t="shared" si="28"/>
        <v>0</v>
      </c>
      <c r="U83" s="38"/>
      <c r="V83" s="55">
        <f>IF($A83&gt;Esc_6c!D$9,0,M83*alpha  +V82*(1+i_noc))</f>
        <v>0</v>
      </c>
      <c r="W83" s="55">
        <f>IF($A83&gt;Esc_6c!E$9,0,N83*alpha  +W82*(1+i_noc))</f>
        <v>0</v>
      </c>
      <c r="X83" s="55">
        <f>IF($A83&gt;Esc_6c!D$9,0,O83*(1-alpha)+X82*(1+i_noc))</f>
        <v>0</v>
      </c>
      <c r="Y83" s="55">
        <f>IF($A83&gt;Esc_6c!E$9,0,P83*(1-alpha)+Y82*(1+i_noc))</f>
        <v>0</v>
      </c>
      <c r="Z83" s="54">
        <f t="shared" si="38"/>
        <v>0</v>
      </c>
      <c r="AA83" s="54">
        <f t="shared" si="39"/>
        <v>0</v>
      </c>
      <c r="AB83" s="55">
        <f t="shared" si="29"/>
        <v>0</v>
      </c>
      <c r="AC83" s="55">
        <f t="shared" si="30"/>
        <v>0</v>
      </c>
      <c r="AD83" s="53">
        <f>D83*mmater*Parámetros!$G70*$W$14+AD82*(1+i_noc)</f>
        <v>0</v>
      </c>
      <c r="AE83" s="53">
        <f>E83*12*Parámetros!$F70*$W$14+AE82*(1+i_noc)</f>
        <v>1856362.7746651233</v>
      </c>
      <c r="AF83" s="53">
        <f t="shared" si="25"/>
        <v>197423.728108999</v>
      </c>
      <c r="AG83" s="53">
        <f t="shared" si="26"/>
        <v>197423.728108999</v>
      </c>
      <c r="AI83" s="74">
        <f>($A83=Esc_6c!D$9)*Z83/(12*_xlfn.XLOOKUP(AI$15,sexo_cnu,cnu))</f>
        <v>0</v>
      </c>
      <c r="AJ83" s="74">
        <f>($A83=Esc_6c!E$9)*AA83/(12*_xlfn.XLOOKUP(AJ$15,sexo_cnu,cnu))</f>
        <v>0</v>
      </c>
      <c r="AK83" s="74">
        <f>($A83=Esc_6c!D$9)*AB83/(12*_xlfn.XLOOKUP(AK$15,sexo_cnu,cnu))</f>
        <v>0</v>
      </c>
      <c r="AL83" s="74">
        <f>($A83=Esc_6c!E$9)*AC83/(12*_xlfn.XLOOKUP(AL$15,sexo_cnu,cnu))</f>
        <v>0</v>
      </c>
      <c r="AM83" s="53">
        <f>($A83=Esc_6c!D$9)*V83/(12*_xlfn.XLOOKUP(AM$15,sexo_cnu,cnu_noc))</f>
        <v>0</v>
      </c>
      <c r="AN83" s="53">
        <f>($A83=Esc_6c!E$9)*W83/(12*_xlfn.XLOOKUP(AN$15,sexo_cnu,cnu_noc))</f>
        <v>0</v>
      </c>
      <c r="AO83" s="53">
        <f>($A83=Esc_6c!D$9)*X83/(12*_xlfn.XLOOKUP(AO$15,sexo_cnu,cnu_noc))</f>
        <v>0</v>
      </c>
      <c r="AP83" s="53">
        <f>($A83=Esc_6c!E$9)*Y83/(12*_xlfn.XLOOKUP(AP$15,sexo_cnu,cnu_noc))</f>
        <v>0</v>
      </c>
      <c r="AQ83" s="53">
        <f>($A83=Esc_6c!E$9)*AD83/(12*_xlfn.XLOOKUP(AQ$15,sexo_cnu,cnu_noc))</f>
        <v>0</v>
      </c>
      <c r="AR83" s="53">
        <f>($A83=Esc_6c!E$9)*AE83/(12*_xlfn.XLOOKUP(AR$15,sexo_cnu,cnu_noc))</f>
        <v>0</v>
      </c>
      <c r="AS83" s="53">
        <f>($A83=Esc_6c!D$9)*AF83/(12*_xlfn.XLOOKUP(AS$15,sexo_cnu,cnu_noc))</f>
        <v>0</v>
      </c>
      <c r="AT83" s="53">
        <f>($A83=Esc_6c!E$9)*AG83/(12*_xlfn.XLOOKUP(AT$15,sexo_cnu,cnu_noc))</f>
        <v>0</v>
      </c>
      <c r="AU83" s="39"/>
      <c r="AV83" s="39"/>
    </row>
    <row r="84" spans="1:48" x14ac:dyDescent="0.25">
      <c r="A84" s="30">
        <v>2049</v>
      </c>
      <c r="B84" s="33">
        <f>w_uf*UF*Parámetros!C71</f>
        <v>1173205.9271482951</v>
      </c>
      <c r="C84" s="30">
        <f t="shared" si="33"/>
        <v>70</v>
      </c>
      <c r="D84" s="30">
        <f>((A84=Inputs!$C$12)*(Inputs!$D$12) + (A84=Inputs!$C$13)*(Inputs!$D$13) + (A84=Inputs!$C$14)*(Inputs!$D$14)) *(A84 &gt;= a_afil)*(A84&gt;=2024)</f>
        <v>0</v>
      </c>
      <c r="E84" s="30">
        <f>MIN(1,(A84=Inputs!$C$19)*Inputs!$D$19+(A84=Inputs!$C$20)*Inputs!$D$20+(A84=Inputs!$C$21)*Inputs!$D$21*(A84 &gt;= a_afil))</f>
        <v>0</v>
      </c>
      <c r="F84" s="30">
        <f t="shared" si="34"/>
        <v>0</v>
      </c>
      <c r="G84" s="30">
        <f t="shared" si="35"/>
        <v>0</v>
      </c>
      <c r="H84" s="30">
        <v>0.67482608556747437</v>
      </c>
      <c r="I84" s="37">
        <f t="shared" si="22"/>
        <v>0</v>
      </c>
      <c r="J84" s="37">
        <f t="shared" si="23"/>
        <v>0</v>
      </c>
      <c r="K84" s="30">
        <f>1*OR(Inputs!$D$17=$A84,Inputs!$E$17=$A84)*($E84=0)*(F84=1)</f>
        <v>0</v>
      </c>
      <c r="L84" s="30">
        <f>1*OR(Inputs!$D$17=$A84,Inputs!$E$17=$A84)*($E84=0)*(G84=1)</f>
        <v>0</v>
      </c>
      <c r="M84" s="73">
        <f t="shared" si="31"/>
        <v>0</v>
      </c>
      <c r="N84" s="73">
        <f t="shared" si="32"/>
        <v>0</v>
      </c>
      <c r="O84" s="55">
        <f>MIN(Parámetros!$E71, _xlfn.XLOOKUP($A84,agnos,tope_ref_col)*UF)*12*I84*$P$14</f>
        <v>0</v>
      </c>
      <c r="P84" s="55">
        <f>MIN(Parámetros!$E71, _xlfn.XLOOKUP($A84,agnos,tope_ref_col)*UF)*12*J84*$P$14</f>
        <v>0</v>
      </c>
      <c r="Q84" s="70">
        <f t="shared" si="36"/>
        <v>0</v>
      </c>
      <c r="R84" s="70">
        <f t="shared" si="37"/>
        <v>0</v>
      </c>
      <c r="S84" s="68">
        <f t="shared" si="27"/>
        <v>0</v>
      </c>
      <c r="T84" s="68">
        <f t="shared" si="28"/>
        <v>0</v>
      </c>
      <c r="U84" s="38"/>
      <c r="V84" s="55">
        <f>IF($A84&gt;Esc_6c!D$9,0,M84*alpha  +V83*(1+i_noc))</f>
        <v>0</v>
      </c>
      <c r="W84" s="55">
        <f>IF($A84&gt;Esc_6c!E$9,0,N84*alpha  +W83*(1+i_noc))</f>
        <v>0</v>
      </c>
      <c r="X84" s="55">
        <f>IF($A84&gt;Esc_6c!D$9,0,O84*(1-alpha)+X83*(1+i_noc))</f>
        <v>0</v>
      </c>
      <c r="Y84" s="55">
        <f>IF($A84&gt;Esc_6c!E$9,0,P84*(1-alpha)+Y83*(1+i_noc))</f>
        <v>0</v>
      </c>
      <c r="Z84" s="54">
        <f t="shared" si="38"/>
        <v>0</v>
      </c>
      <c r="AA84" s="54">
        <f t="shared" si="39"/>
        <v>0</v>
      </c>
      <c r="AB84" s="55">
        <f t="shared" si="29"/>
        <v>0</v>
      </c>
      <c r="AC84" s="55">
        <f t="shared" si="30"/>
        <v>0</v>
      </c>
      <c r="AD84" s="53">
        <f>D84*mmater*Parámetros!$G71*$W$14+AD83*(1+i_noc)</f>
        <v>0</v>
      </c>
      <c r="AE84" s="53">
        <f>E84*12*Parámetros!$F71*$W$14+AE83*(1+i_noc)</f>
        <v>1893490.0301584259</v>
      </c>
      <c r="AF84" s="53">
        <f t="shared" si="25"/>
        <v>201372.20267117899</v>
      </c>
      <c r="AG84" s="53">
        <f t="shared" si="26"/>
        <v>201372.20267117899</v>
      </c>
      <c r="AI84" s="74">
        <f>($A84=Esc_6c!D$9)*Z84/(12*_xlfn.XLOOKUP(AI$15,sexo_cnu,cnu))</f>
        <v>0</v>
      </c>
      <c r="AJ84" s="74">
        <f>($A84=Esc_6c!E$9)*AA84/(12*_xlfn.XLOOKUP(AJ$15,sexo_cnu,cnu))</f>
        <v>0</v>
      </c>
      <c r="AK84" s="74">
        <f>($A84=Esc_6c!D$9)*AB84/(12*_xlfn.XLOOKUP(AK$15,sexo_cnu,cnu))</f>
        <v>0</v>
      </c>
      <c r="AL84" s="74">
        <f>($A84=Esc_6c!E$9)*AC84/(12*_xlfn.XLOOKUP(AL$15,sexo_cnu,cnu))</f>
        <v>0</v>
      </c>
      <c r="AM84" s="53">
        <f>($A84=Esc_6c!D$9)*V84/(12*_xlfn.XLOOKUP(AM$15,sexo_cnu,cnu_noc))</f>
        <v>0</v>
      </c>
      <c r="AN84" s="53">
        <f>($A84=Esc_6c!E$9)*W84/(12*_xlfn.XLOOKUP(AN$15,sexo_cnu,cnu_noc))</f>
        <v>0</v>
      </c>
      <c r="AO84" s="53">
        <f>($A84=Esc_6c!D$9)*X84/(12*_xlfn.XLOOKUP(AO$15,sexo_cnu,cnu_noc))</f>
        <v>0</v>
      </c>
      <c r="AP84" s="53">
        <f>($A84=Esc_6c!E$9)*Y84/(12*_xlfn.XLOOKUP(AP$15,sexo_cnu,cnu_noc))</f>
        <v>0</v>
      </c>
      <c r="AQ84" s="53">
        <f>($A84=Esc_6c!E$9)*AD84/(12*_xlfn.XLOOKUP(AQ$15,sexo_cnu,cnu_noc))</f>
        <v>0</v>
      </c>
      <c r="AR84" s="53">
        <f>($A84=Esc_6c!E$9)*AE84/(12*_xlfn.XLOOKUP(AR$15,sexo_cnu,cnu_noc))</f>
        <v>0</v>
      </c>
      <c r="AS84" s="53">
        <f>($A84=Esc_6c!D$9)*AF84/(12*_xlfn.XLOOKUP(AS$15,sexo_cnu,cnu_noc))</f>
        <v>0</v>
      </c>
      <c r="AT84" s="53">
        <f>($A84=Esc_6c!E$9)*AG84/(12*_xlfn.XLOOKUP(AT$15,sexo_cnu,cnu_noc))</f>
        <v>0</v>
      </c>
      <c r="AU84" s="39"/>
      <c r="AV84" s="39"/>
    </row>
    <row r="85" spans="1:48" x14ac:dyDescent="0.25">
      <c r="A85" s="30">
        <v>2050</v>
      </c>
      <c r="B85" s="33">
        <f>w_uf*UF*Parámetros!C72</f>
        <v>1187871.0012376488</v>
      </c>
      <c r="C85" s="30">
        <f t="shared" si="33"/>
        <v>71</v>
      </c>
      <c r="D85" s="30">
        <f>((A85=Inputs!$C$12)*(Inputs!$D$12) + (A85=Inputs!$C$13)*(Inputs!$D$13) + (A85=Inputs!$C$14)*(Inputs!$D$14)) *(A85 &gt;= a_afil)*(A85&gt;=2024)</f>
        <v>0</v>
      </c>
      <c r="E85" s="30">
        <f>MIN(1,(A85=Inputs!$C$19)*Inputs!$D$19+(A85=Inputs!$C$20)*Inputs!$D$20+(A85=Inputs!$C$21)*Inputs!$D$21*(A85 &gt;= a_afil))</f>
        <v>0</v>
      </c>
      <c r="F85" s="30">
        <f t="shared" si="34"/>
        <v>0</v>
      </c>
      <c r="G85" s="30">
        <f t="shared" si="35"/>
        <v>0</v>
      </c>
      <c r="H85" s="30">
        <v>0.90512931346893311</v>
      </c>
      <c r="I85" s="37">
        <f t="shared" si="22"/>
        <v>0</v>
      </c>
      <c r="J85" s="37">
        <f t="shared" si="23"/>
        <v>0</v>
      </c>
      <c r="K85" s="30">
        <f>1*OR(Inputs!$D$17=$A85,Inputs!$E$17=$A85)*($E85=0)*(F85=1)</f>
        <v>0</v>
      </c>
      <c r="L85" s="30">
        <f>1*OR(Inputs!$D$17=$A85,Inputs!$E$17=$A85)*($E85=0)*(G85=1)</f>
        <v>0</v>
      </c>
      <c r="M85" s="73">
        <f t="shared" si="31"/>
        <v>0</v>
      </c>
      <c r="N85" s="73">
        <f t="shared" si="32"/>
        <v>0</v>
      </c>
      <c r="O85" s="55">
        <f>MIN(Parámetros!$E72, _xlfn.XLOOKUP($A85,agnos,tope_ref_col)*UF)*12*I85*$P$14</f>
        <v>0</v>
      </c>
      <c r="P85" s="55">
        <f>MIN(Parámetros!$E72, _xlfn.XLOOKUP($A85,agnos,tope_ref_col)*UF)*12*J85*$P$14</f>
        <v>0</v>
      </c>
      <c r="Q85" s="70">
        <f t="shared" si="36"/>
        <v>0</v>
      </c>
      <c r="R85" s="70">
        <f t="shared" si="37"/>
        <v>0</v>
      </c>
      <c r="S85" s="68">
        <f t="shared" si="27"/>
        <v>0</v>
      </c>
      <c r="T85" s="68">
        <f t="shared" si="28"/>
        <v>0</v>
      </c>
      <c r="U85" s="38"/>
      <c r="V85" s="55">
        <f>IF($A85&gt;Esc_6c!D$9,0,M85*alpha  +V84*(1+i_noc))</f>
        <v>0</v>
      </c>
      <c r="W85" s="55">
        <f>IF($A85&gt;Esc_6c!E$9,0,N85*alpha  +W84*(1+i_noc))</f>
        <v>0</v>
      </c>
      <c r="X85" s="55">
        <f>IF($A85&gt;Esc_6c!D$9,0,O85*(1-alpha)+X84*(1+i_noc))</f>
        <v>0</v>
      </c>
      <c r="Y85" s="55">
        <f>IF($A85&gt;Esc_6c!E$9,0,P85*(1-alpha)+Y84*(1+i_noc))</f>
        <v>0</v>
      </c>
      <c r="Z85" s="54">
        <f t="shared" si="38"/>
        <v>0</v>
      </c>
      <c r="AA85" s="54">
        <f t="shared" si="39"/>
        <v>0</v>
      </c>
      <c r="AB85" s="55">
        <f t="shared" si="29"/>
        <v>0</v>
      </c>
      <c r="AC85" s="55">
        <f t="shared" si="30"/>
        <v>0</v>
      </c>
      <c r="AD85" s="53">
        <f>D85*mmater*Parámetros!$G72*$W$14+AD84*(1+i_noc)</f>
        <v>0</v>
      </c>
      <c r="AE85" s="53">
        <f>E85*12*Parámetros!$F72*$W$14+AE84*(1+i_noc)</f>
        <v>1931359.8307615945</v>
      </c>
      <c r="AF85" s="53">
        <f t="shared" si="25"/>
        <v>205399.64672460259</v>
      </c>
      <c r="AG85" s="53">
        <f t="shared" si="26"/>
        <v>205399.64672460259</v>
      </c>
      <c r="AI85" s="74">
        <f>($A85=Esc_6c!D$9)*Z85/(12*_xlfn.XLOOKUP(AI$15,sexo_cnu,cnu))</f>
        <v>0</v>
      </c>
      <c r="AJ85" s="74">
        <f>($A85=Esc_6c!E$9)*AA85/(12*_xlfn.XLOOKUP(AJ$15,sexo_cnu,cnu))</f>
        <v>0</v>
      </c>
      <c r="AK85" s="74">
        <f>($A85=Esc_6c!D$9)*AB85/(12*_xlfn.XLOOKUP(AK$15,sexo_cnu,cnu))</f>
        <v>0</v>
      </c>
      <c r="AL85" s="74">
        <f>($A85=Esc_6c!E$9)*AC85/(12*_xlfn.XLOOKUP(AL$15,sexo_cnu,cnu))</f>
        <v>0</v>
      </c>
      <c r="AM85" s="53">
        <f>($A85=Esc_6c!D$9)*V85/(12*_xlfn.XLOOKUP(AM$15,sexo_cnu,cnu_noc))</f>
        <v>0</v>
      </c>
      <c r="AN85" s="53">
        <f>($A85=Esc_6c!E$9)*W85/(12*_xlfn.XLOOKUP(AN$15,sexo_cnu,cnu_noc))</f>
        <v>0</v>
      </c>
      <c r="AO85" s="53">
        <f>($A85=Esc_6c!D$9)*X85/(12*_xlfn.XLOOKUP(AO$15,sexo_cnu,cnu_noc))</f>
        <v>0</v>
      </c>
      <c r="AP85" s="53">
        <f>($A85=Esc_6c!E$9)*Y85/(12*_xlfn.XLOOKUP(AP$15,sexo_cnu,cnu_noc))</f>
        <v>0</v>
      </c>
      <c r="AQ85" s="53">
        <f>($A85=Esc_6c!E$9)*AD85/(12*_xlfn.XLOOKUP(AQ$15,sexo_cnu,cnu_noc))</f>
        <v>0</v>
      </c>
      <c r="AR85" s="53">
        <f>($A85=Esc_6c!E$9)*AE85/(12*_xlfn.XLOOKUP(AR$15,sexo_cnu,cnu_noc))</f>
        <v>0</v>
      </c>
      <c r="AS85" s="53">
        <f>($A85=Esc_6c!D$9)*AF85/(12*_xlfn.XLOOKUP(AS$15,sexo_cnu,cnu_noc))</f>
        <v>0</v>
      </c>
      <c r="AT85" s="53">
        <f>($A85=Esc_6c!E$9)*AG85/(12*_xlfn.XLOOKUP(AT$15,sexo_cnu,cnu_noc))</f>
        <v>0</v>
      </c>
      <c r="AU85" s="39"/>
      <c r="AV85" s="39"/>
    </row>
    <row r="86" spans="1:48" x14ac:dyDescent="0.25">
      <c r="A86" s="30">
        <v>2051</v>
      </c>
      <c r="B86" s="33">
        <f>w_uf*UF*Parámetros!C73</f>
        <v>1202719.3887531192</v>
      </c>
      <c r="C86" s="30">
        <f t="shared" si="33"/>
        <v>72</v>
      </c>
      <c r="D86" s="30">
        <f>((A86=Inputs!$C$12)*(Inputs!$D$12) + (A86=Inputs!$C$13)*(Inputs!$D$13) + (A86=Inputs!$C$14)*(Inputs!$D$14)) *(A86 &gt;= a_afil)*(A86&gt;=2024)</f>
        <v>0</v>
      </c>
      <c r="E86" s="30">
        <f>MIN(1,(A86=Inputs!$C$19)*Inputs!$D$19+(A86=Inputs!$C$20)*Inputs!$D$20+(A86=Inputs!$C$21)*Inputs!$D$21*(A86 &gt;= a_afil))</f>
        <v>0</v>
      </c>
      <c r="F86" s="30">
        <f t="shared" si="34"/>
        <v>0</v>
      </c>
      <c r="G86" s="30">
        <f t="shared" si="35"/>
        <v>0</v>
      </c>
      <c r="H86" s="30">
        <v>0.87577968835830688</v>
      </c>
      <c r="I86" s="37">
        <f t="shared" si="22"/>
        <v>0</v>
      </c>
      <c r="J86" s="37">
        <f t="shared" si="23"/>
        <v>0</v>
      </c>
      <c r="K86" s="30">
        <f>1*OR(Inputs!$D$17=$A86,Inputs!$E$17=$A86)*($E86=0)*(F86=1)</f>
        <v>0</v>
      </c>
      <c r="L86" s="30">
        <f>1*OR(Inputs!$D$17=$A86,Inputs!$E$17=$A86)*($E86=0)*(G86=1)</f>
        <v>0</v>
      </c>
      <c r="M86" s="73">
        <f t="shared" si="31"/>
        <v>0</v>
      </c>
      <c r="N86" s="73">
        <f t="shared" si="32"/>
        <v>0</v>
      </c>
      <c r="O86" s="55">
        <f>MIN(Parámetros!$E73, _xlfn.XLOOKUP($A86,agnos,tope_ref_col)*UF)*12*I86*$P$14</f>
        <v>0</v>
      </c>
      <c r="P86" s="55">
        <f>MIN(Parámetros!$E73, _xlfn.XLOOKUP($A86,agnos,tope_ref_col)*UF)*12*J86*$P$14</f>
        <v>0</v>
      </c>
      <c r="Q86" s="70">
        <f t="shared" si="36"/>
        <v>0</v>
      </c>
      <c r="R86" s="70">
        <f t="shared" si="37"/>
        <v>0</v>
      </c>
      <c r="S86" s="68">
        <f t="shared" si="27"/>
        <v>0</v>
      </c>
      <c r="T86" s="68">
        <f t="shared" si="28"/>
        <v>0</v>
      </c>
      <c r="U86" s="38"/>
      <c r="V86" s="55">
        <f>IF($A86&gt;Esc_6c!D$9,0,M86*alpha  +V85*(1+i_noc))</f>
        <v>0</v>
      </c>
      <c r="W86" s="55">
        <f>IF($A86&gt;Esc_6c!E$9,0,N86*alpha  +W85*(1+i_noc))</f>
        <v>0</v>
      </c>
      <c r="X86" s="55">
        <f>IF($A86&gt;Esc_6c!D$9,0,O86*(1-alpha)+X85*(1+i_noc))</f>
        <v>0</v>
      </c>
      <c r="Y86" s="55">
        <f>IF($A86&gt;Esc_6c!E$9,0,P86*(1-alpha)+Y85*(1+i_noc))</f>
        <v>0</v>
      </c>
      <c r="Z86" s="54">
        <f t="shared" si="38"/>
        <v>0</v>
      </c>
      <c r="AA86" s="54">
        <f t="shared" si="39"/>
        <v>0</v>
      </c>
      <c r="AB86" s="55">
        <f t="shared" si="29"/>
        <v>0</v>
      </c>
      <c r="AC86" s="55">
        <f t="shared" si="30"/>
        <v>0</v>
      </c>
      <c r="AD86" s="53">
        <f>D86*mmater*Parámetros!$G73*$W$14+AD85*(1+i_noc)</f>
        <v>0</v>
      </c>
      <c r="AE86" s="53">
        <f>E86*12*Parámetros!$F73*$W$14+AE85*(1+i_noc)</f>
        <v>1969987.0273768264</v>
      </c>
      <c r="AF86" s="53">
        <f t="shared" si="25"/>
        <v>209507.63965909465</v>
      </c>
      <c r="AG86" s="53">
        <f t="shared" si="26"/>
        <v>209507.63965909465</v>
      </c>
      <c r="AI86" s="74">
        <f>($A86=Esc_6c!D$9)*Z86/(12*_xlfn.XLOOKUP(AI$15,sexo_cnu,cnu))</f>
        <v>0</v>
      </c>
      <c r="AJ86" s="74">
        <f>($A86=Esc_6c!E$9)*AA86/(12*_xlfn.XLOOKUP(AJ$15,sexo_cnu,cnu))</f>
        <v>0</v>
      </c>
      <c r="AK86" s="74">
        <f>($A86=Esc_6c!D$9)*AB86/(12*_xlfn.XLOOKUP(AK$15,sexo_cnu,cnu))</f>
        <v>0</v>
      </c>
      <c r="AL86" s="74">
        <f>($A86=Esc_6c!E$9)*AC86/(12*_xlfn.XLOOKUP(AL$15,sexo_cnu,cnu))</f>
        <v>0</v>
      </c>
      <c r="AM86" s="53">
        <f>($A86=Esc_6c!D$9)*V86/(12*_xlfn.XLOOKUP(AM$15,sexo_cnu,cnu_noc))</f>
        <v>0</v>
      </c>
      <c r="AN86" s="53">
        <f>($A86=Esc_6c!E$9)*W86/(12*_xlfn.XLOOKUP(AN$15,sexo_cnu,cnu_noc))</f>
        <v>0</v>
      </c>
      <c r="AO86" s="53">
        <f>($A86=Esc_6c!D$9)*X86/(12*_xlfn.XLOOKUP(AO$15,sexo_cnu,cnu_noc))</f>
        <v>0</v>
      </c>
      <c r="AP86" s="53">
        <f>($A86=Esc_6c!E$9)*Y86/(12*_xlfn.XLOOKUP(AP$15,sexo_cnu,cnu_noc))</f>
        <v>0</v>
      </c>
      <c r="AQ86" s="53">
        <f>($A86=Esc_6c!E$9)*AD86/(12*_xlfn.XLOOKUP(AQ$15,sexo_cnu,cnu_noc))</f>
        <v>0</v>
      </c>
      <c r="AR86" s="53">
        <f>($A86=Esc_6c!E$9)*AE86/(12*_xlfn.XLOOKUP(AR$15,sexo_cnu,cnu_noc))</f>
        <v>0</v>
      </c>
      <c r="AS86" s="53">
        <f>($A86=Esc_6c!D$9)*AF86/(12*_xlfn.XLOOKUP(AS$15,sexo_cnu,cnu_noc))</f>
        <v>0</v>
      </c>
      <c r="AT86" s="53">
        <f>($A86=Esc_6c!E$9)*AG86/(12*_xlfn.XLOOKUP(AT$15,sexo_cnu,cnu_noc))</f>
        <v>0</v>
      </c>
      <c r="AU86" s="39"/>
      <c r="AV86" s="39"/>
    </row>
    <row r="87" spans="1:48" x14ac:dyDescent="0.25">
      <c r="A87" s="30">
        <v>2052</v>
      </c>
      <c r="B87" s="33">
        <f>w_uf*UF*Parámetros!C74</f>
        <v>1217753.3811125332</v>
      </c>
      <c r="C87" s="30">
        <f t="shared" si="33"/>
        <v>73</v>
      </c>
      <c r="D87" s="30">
        <f>((A87=Inputs!$C$12)*(Inputs!$D$12) + (A87=Inputs!$C$13)*(Inputs!$D$13) + (A87=Inputs!$C$14)*(Inputs!$D$14)) *(A87 &gt;= a_afil)*(A87&gt;=2024)</f>
        <v>0</v>
      </c>
      <c r="E87" s="30">
        <f>MIN(1,(A87=Inputs!$C$19)*Inputs!$D$19+(A87=Inputs!$C$20)*Inputs!$D$20+(A87=Inputs!$C$21)*Inputs!$D$21*(A87 &gt;= a_afil))</f>
        <v>0</v>
      </c>
      <c r="F87" s="30">
        <f t="shared" si="34"/>
        <v>0</v>
      </c>
      <c r="G87" s="30">
        <f t="shared" si="35"/>
        <v>0</v>
      </c>
      <c r="H87" s="30">
        <v>0.41664838790893555</v>
      </c>
      <c r="I87" s="37">
        <f t="shared" si="22"/>
        <v>0</v>
      </c>
      <c r="J87" s="37">
        <f t="shared" si="23"/>
        <v>0</v>
      </c>
      <c r="K87" s="30">
        <f>1*OR(Inputs!$D$17=$A87,Inputs!$E$17=$A87)*($E87=0)*(F87=1)</f>
        <v>0</v>
      </c>
      <c r="L87" s="30">
        <f>1*OR(Inputs!$D$17=$A87,Inputs!$E$17=$A87)*($E87=0)*(G87=1)</f>
        <v>0</v>
      </c>
      <c r="M87" s="73">
        <f t="shared" si="31"/>
        <v>0</v>
      </c>
      <c r="N87" s="73">
        <f t="shared" si="32"/>
        <v>0</v>
      </c>
      <c r="O87" s="55">
        <f>MIN(Parámetros!$E74, _xlfn.XLOOKUP($A87,agnos,tope_ref_col)*UF)*12*I87*$P$14</f>
        <v>0</v>
      </c>
      <c r="P87" s="55">
        <f>MIN(Parámetros!$E74, _xlfn.XLOOKUP($A87,agnos,tope_ref_col)*UF)*12*J87*$P$14</f>
        <v>0</v>
      </c>
      <c r="Q87" s="70">
        <f t="shared" si="36"/>
        <v>0</v>
      </c>
      <c r="R87" s="70">
        <f t="shared" si="37"/>
        <v>0</v>
      </c>
      <c r="S87" s="68">
        <f t="shared" si="27"/>
        <v>0</v>
      </c>
      <c r="T87" s="68">
        <f t="shared" si="28"/>
        <v>0</v>
      </c>
      <c r="U87" s="38"/>
      <c r="V87" s="55">
        <f>IF($A87&gt;Esc_6c!D$9,0,M87*alpha  +V86*(1+i_noc))</f>
        <v>0</v>
      </c>
      <c r="W87" s="55">
        <f>IF($A87&gt;Esc_6c!E$9,0,N87*alpha  +W86*(1+i_noc))</f>
        <v>0</v>
      </c>
      <c r="X87" s="55">
        <f>IF($A87&gt;Esc_6c!D$9,0,O87*(1-alpha)+X86*(1+i_noc))</f>
        <v>0</v>
      </c>
      <c r="Y87" s="55">
        <f>IF($A87&gt;Esc_6c!E$9,0,P87*(1-alpha)+Y86*(1+i_noc))</f>
        <v>0</v>
      </c>
      <c r="Z87" s="54">
        <f t="shared" si="38"/>
        <v>0</v>
      </c>
      <c r="AA87" s="54">
        <f t="shared" si="39"/>
        <v>0</v>
      </c>
      <c r="AB87" s="55">
        <f t="shared" si="29"/>
        <v>0</v>
      </c>
      <c r="AC87" s="55">
        <f t="shared" si="30"/>
        <v>0</v>
      </c>
      <c r="AD87" s="53">
        <f>D87*mmater*Parámetros!$G74*$W$14+AD86*(1+i_noc)</f>
        <v>0</v>
      </c>
      <c r="AE87" s="53">
        <f>E87*12*Parámetros!$F74*$W$14+AE86*(1+i_noc)</f>
        <v>2009386.767924363</v>
      </c>
      <c r="AF87" s="53">
        <f t="shared" si="25"/>
        <v>213697.79245227654</v>
      </c>
      <c r="AG87" s="53">
        <f t="shared" si="26"/>
        <v>213697.79245227654</v>
      </c>
      <c r="AI87" s="74">
        <f>($A87=Esc_6c!D$9)*Z87/(12*_xlfn.XLOOKUP(AI$15,sexo_cnu,cnu))</f>
        <v>0</v>
      </c>
      <c r="AJ87" s="74">
        <f>($A87=Esc_6c!E$9)*AA87/(12*_xlfn.XLOOKUP(AJ$15,sexo_cnu,cnu))</f>
        <v>0</v>
      </c>
      <c r="AK87" s="74">
        <f>($A87=Esc_6c!D$9)*AB87/(12*_xlfn.XLOOKUP(AK$15,sexo_cnu,cnu))</f>
        <v>0</v>
      </c>
      <c r="AL87" s="74">
        <f>($A87=Esc_6c!E$9)*AC87/(12*_xlfn.XLOOKUP(AL$15,sexo_cnu,cnu))</f>
        <v>0</v>
      </c>
      <c r="AM87" s="53">
        <f>($A87=Esc_6c!D$9)*V87/(12*_xlfn.XLOOKUP(AM$15,sexo_cnu,cnu_noc))</f>
        <v>0</v>
      </c>
      <c r="AN87" s="53">
        <f>($A87=Esc_6c!E$9)*W87/(12*_xlfn.XLOOKUP(AN$15,sexo_cnu,cnu_noc))</f>
        <v>0</v>
      </c>
      <c r="AO87" s="53">
        <f>($A87=Esc_6c!D$9)*X87/(12*_xlfn.XLOOKUP(AO$15,sexo_cnu,cnu_noc))</f>
        <v>0</v>
      </c>
      <c r="AP87" s="53">
        <f>($A87=Esc_6c!E$9)*Y87/(12*_xlfn.XLOOKUP(AP$15,sexo_cnu,cnu_noc))</f>
        <v>0</v>
      </c>
      <c r="AQ87" s="53">
        <f>($A87=Esc_6c!E$9)*AD87/(12*_xlfn.XLOOKUP(AQ$15,sexo_cnu,cnu_noc))</f>
        <v>0</v>
      </c>
      <c r="AR87" s="53">
        <f>($A87=Esc_6c!E$9)*AE87/(12*_xlfn.XLOOKUP(AR$15,sexo_cnu,cnu_noc))</f>
        <v>0</v>
      </c>
      <c r="AS87" s="53">
        <f>($A87=Esc_6c!D$9)*AF87/(12*_xlfn.XLOOKUP(AS$15,sexo_cnu,cnu_noc))</f>
        <v>0</v>
      </c>
      <c r="AT87" s="53">
        <f>($A87=Esc_6c!E$9)*AG87/(12*_xlfn.XLOOKUP(AT$15,sexo_cnu,cnu_noc))</f>
        <v>0</v>
      </c>
      <c r="AU87" s="39"/>
      <c r="AV87" s="39"/>
    </row>
    <row r="88" spans="1:48" x14ac:dyDescent="0.25">
      <c r="A88" s="30">
        <v>2053</v>
      </c>
      <c r="B88" s="33">
        <f>w_uf*UF*Parámetros!C75</f>
        <v>1232975.2983764398</v>
      </c>
      <c r="C88" s="30">
        <f t="shared" si="33"/>
        <v>74</v>
      </c>
      <c r="D88" s="30">
        <f>((A88=Inputs!$C$12)*(Inputs!$D$12) + (A88=Inputs!$C$13)*(Inputs!$D$13) + (A88=Inputs!$C$14)*(Inputs!$D$14)) *(A88 &gt;= a_afil)*(A88&gt;=2024)</f>
        <v>0</v>
      </c>
      <c r="E88" s="30">
        <f>MIN(1,(A88=Inputs!$C$19)*Inputs!$D$19+(A88=Inputs!$C$20)*Inputs!$D$20+(A88=Inputs!$C$21)*Inputs!$D$21*(A88 &gt;= a_afil))</f>
        <v>0</v>
      </c>
      <c r="F88" s="30">
        <f t="shared" si="34"/>
        <v>0</v>
      </c>
      <c r="G88" s="30">
        <f t="shared" si="35"/>
        <v>0</v>
      </c>
      <c r="H88" s="30">
        <v>0.12308281660079956</v>
      </c>
      <c r="I88" s="37">
        <f t="shared" si="22"/>
        <v>0</v>
      </c>
      <c r="J88" s="37">
        <f t="shared" si="23"/>
        <v>0</v>
      </c>
      <c r="K88" s="30">
        <f>1*OR(Inputs!$D$17=$A88,Inputs!$E$17=$A88)*($E88=0)*(F88=1)</f>
        <v>0</v>
      </c>
      <c r="L88" s="30">
        <f>1*OR(Inputs!$D$17=$A88,Inputs!$E$17=$A88)*($E88=0)*(G88=1)</f>
        <v>0</v>
      </c>
      <c r="M88" s="73">
        <f t="shared" si="31"/>
        <v>0</v>
      </c>
      <c r="N88" s="73">
        <f t="shared" si="32"/>
        <v>0</v>
      </c>
      <c r="O88" s="55">
        <f>MIN(Parámetros!$E75, _xlfn.XLOOKUP($A88,agnos,tope_ref_col)*UF)*12*I88*$P$14</f>
        <v>0</v>
      </c>
      <c r="P88" s="55">
        <f>MIN(Parámetros!$E75, _xlfn.XLOOKUP($A88,agnos,tope_ref_col)*UF)*12*J88*$P$14</f>
        <v>0</v>
      </c>
      <c r="Q88" s="70">
        <f t="shared" si="36"/>
        <v>0</v>
      </c>
      <c r="R88" s="70">
        <f t="shared" si="37"/>
        <v>0</v>
      </c>
      <c r="S88" s="68">
        <f t="shared" si="27"/>
        <v>0</v>
      </c>
      <c r="T88" s="68">
        <f t="shared" si="28"/>
        <v>0</v>
      </c>
      <c r="U88" s="38"/>
      <c r="V88" s="55">
        <f>IF($A88&gt;Esc_6c!D$9,0,M88*alpha  +V87*(1+i_noc))</f>
        <v>0</v>
      </c>
      <c r="W88" s="55">
        <f>IF($A88&gt;Esc_6c!E$9,0,N88*alpha  +W87*(1+i_noc))</f>
        <v>0</v>
      </c>
      <c r="X88" s="55">
        <f>IF($A88&gt;Esc_6c!D$9,0,O88*(1-alpha)+X87*(1+i_noc))</f>
        <v>0</v>
      </c>
      <c r="Y88" s="55">
        <f>IF($A88&gt;Esc_6c!E$9,0,P88*(1-alpha)+Y87*(1+i_noc))</f>
        <v>0</v>
      </c>
      <c r="Z88" s="54">
        <f t="shared" si="38"/>
        <v>0</v>
      </c>
      <c r="AA88" s="54">
        <f t="shared" si="39"/>
        <v>0</v>
      </c>
      <c r="AB88" s="55">
        <f t="shared" si="29"/>
        <v>0</v>
      </c>
      <c r="AC88" s="55">
        <f t="shared" si="30"/>
        <v>0</v>
      </c>
      <c r="AD88" s="53">
        <f>D88*mmater*Parámetros!$G75*$W$14+AD87*(1+i_noc)</f>
        <v>0</v>
      </c>
      <c r="AE88" s="53">
        <f>E88*12*Parámetros!$F75*$W$14+AE87*(1+i_noc)</f>
        <v>2049574.5032828504</v>
      </c>
      <c r="AF88" s="53">
        <f t="shared" si="25"/>
        <v>217971.74830132208</v>
      </c>
      <c r="AG88" s="53">
        <f t="shared" si="26"/>
        <v>217971.74830132208</v>
      </c>
      <c r="AI88" s="74">
        <f>($A88=Esc_6c!D$9)*Z88/(12*_xlfn.XLOOKUP(AI$15,sexo_cnu,cnu))</f>
        <v>0</v>
      </c>
      <c r="AJ88" s="74">
        <f>($A88=Esc_6c!E$9)*AA88/(12*_xlfn.XLOOKUP(AJ$15,sexo_cnu,cnu))</f>
        <v>0</v>
      </c>
      <c r="AK88" s="74">
        <f>($A88=Esc_6c!D$9)*AB88/(12*_xlfn.XLOOKUP(AK$15,sexo_cnu,cnu))</f>
        <v>0</v>
      </c>
      <c r="AL88" s="74">
        <f>($A88=Esc_6c!E$9)*AC88/(12*_xlfn.XLOOKUP(AL$15,sexo_cnu,cnu))</f>
        <v>0</v>
      </c>
      <c r="AM88" s="53">
        <f>($A88=Esc_6c!D$9)*V88/(12*_xlfn.XLOOKUP(AM$15,sexo_cnu,cnu_noc))</f>
        <v>0</v>
      </c>
      <c r="AN88" s="53">
        <f>($A88=Esc_6c!E$9)*W88/(12*_xlfn.XLOOKUP(AN$15,sexo_cnu,cnu_noc))</f>
        <v>0</v>
      </c>
      <c r="AO88" s="53">
        <f>($A88=Esc_6c!D$9)*X88/(12*_xlfn.XLOOKUP(AO$15,sexo_cnu,cnu_noc))</f>
        <v>0</v>
      </c>
      <c r="AP88" s="53">
        <f>($A88=Esc_6c!E$9)*Y88/(12*_xlfn.XLOOKUP(AP$15,sexo_cnu,cnu_noc))</f>
        <v>0</v>
      </c>
      <c r="AQ88" s="53">
        <f>($A88=Esc_6c!E$9)*AD88/(12*_xlfn.XLOOKUP(AQ$15,sexo_cnu,cnu_noc))</f>
        <v>0</v>
      </c>
      <c r="AR88" s="53">
        <f>($A88=Esc_6c!E$9)*AE88/(12*_xlfn.XLOOKUP(AR$15,sexo_cnu,cnu_noc))</f>
        <v>0</v>
      </c>
      <c r="AS88" s="53">
        <f>($A88=Esc_6c!D$9)*AF88/(12*_xlfn.XLOOKUP(AS$15,sexo_cnu,cnu_noc))</f>
        <v>0</v>
      </c>
      <c r="AT88" s="53">
        <f>($A88=Esc_6c!E$9)*AG88/(12*_xlfn.XLOOKUP(AT$15,sexo_cnu,cnu_noc))</f>
        <v>0</v>
      </c>
      <c r="AU88" s="39"/>
      <c r="AV88" s="39"/>
    </row>
    <row r="89" spans="1:48" x14ac:dyDescent="0.25">
      <c r="A89" s="30">
        <v>2054</v>
      </c>
      <c r="B89" s="33">
        <f>w_uf*UF*Parámetros!C76</f>
        <v>1248387.4896061453</v>
      </c>
      <c r="C89" s="30">
        <f t="shared" si="33"/>
        <v>75</v>
      </c>
      <c r="D89" s="30">
        <f>((A89=Inputs!$C$12)*(Inputs!$D$12) + (A89=Inputs!$C$13)*(Inputs!$D$13) + (A89=Inputs!$C$14)*(Inputs!$D$14)) *(A89 &gt;= a_afil)*(A89&gt;=2024)</f>
        <v>0</v>
      </c>
      <c r="E89" s="30">
        <f>MIN(1,(A89=Inputs!$C$19)*Inputs!$D$19+(A89=Inputs!$C$20)*Inputs!$D$20+(A89=Inputs!$C$21)*Inputs!$D$21*(A89 &gt;= a_afil))</f>
        <v>0</v>
      </c>
      <c r="F89" s="30">
        <f t="shared" si="34"/>
        <v>0</v>
      </c>
      <c r="G89" s="30">
        <f t="shared" si="35"/>
        <v>0</v>
      </c>
      <c r="H89" s="30">
        <v>0.95415794849395752</v>
      </c>
      <c r="I89" s="37">
        <f t="shared" si="22"/>
        <v>0</v>
      </c>
      <c r="J89" s="37">
        <f t="shared" si="23"/>
        <v>0</v>
      </c>
      <c r="K89" s="30">
        <f>1*OR(Inputs!$D$17=$A89,Inputs!$E$17=$A89)*($E89=0)*(F89=1)</f>
        <v>0</v>
      </c>
      <c r="L89" s="30">
        <f>1*OR(Inputs!$D$17=$A89,Inputs!$E$17=$A89)*($E89=0)*(G89=1)</f>
        <v>0</v>
      </c>
      <c r="M89" s="73">
        <f t="shared" si="31"/>
        <v>0</v>
      </c>
      <c r="N89" s="73">
        <f t="shared" si="32"/>
        <v>0</v>
      </c>
      <c r="O89" s="55">
        <f>MIN(Parámetros!$E76, _xlfn.XLOOKUP($A89,agnos,tope_ref_col)*UF)*12*I89*$P$14</f>
        <v>0</v>
      </c>
      <c r="P89" s="55">
        <f>MIN(Parámetros!$E76, _xlfn.XLOOKUP($A89,agnos,tope_ref_col)*UF)*12*J89*$P$14</f>
        <v>0</v>
      </c>
      <c r="Q89" s="70">
        <f t="shared" si="36"/>
        <v>0</v>
      </c>
      <c r="R89" s="70">
        <f t="shared" si="37"/>
        <v>0</v>
      </c>
      <c r="S89" s="68">
        <f t="shared" si="27"/>
        <v>0</v>
      </c>
      <c r="T89" s="68">
        <f t="shared" si="28"/>
        <v>0</v>
      </c>
      <c r="U89" s="38"/>
      <c r="V89" s="55">
        <f>IF($A89&gt;Esc_6c!D$9,0,M89*alpha  +V88*(1+i_noc))</f>
        <v>0</v>
      </c>
      <c r="W89" s="55">
        <f>IF($A89&gt;Esc_6c!E$9,0,N89*alpha  +W88*(1+i_noc))</f>
        <v>0</v>
      </c>
      <c r="X89" s="55">
        <f>IF($A89&gt;Esc_6c!D$9,0,O89*(1-alpha)+X88*(1+i_noc))</f>
        <v>0</v>
      </c>
      <c r="Y89" s="55">
        <f>IF($A89&gt;Esc_6c!E$9,0,P89*(1-alpha)+Y88*(1+i_noc))</f>
        <v>0</v>
      </c>
      <c r="Z89" s="54">
        <f t="shared" si="38"/>
        <v>0</v>
      </c>
      <c r="AA89" s="54">
        <f t="shared" si="39"/>
        <v>0</v>
      </c>
      <c r="AB89" s="55">
        <f t="shared" si="29"/>
        <v>0</v>
      </c>
      <c r="AC89" s="55">
        <f t="shared" si="30"/>
        <v>0</v>
      </c>
      <c r="AD89" s="53">
        <f>D89*mmater*Parámetros!$G76*$W$14+AD88*(1+i_noc)</f>
        <v>0</v>
      </c>
      <c r="AE89" s="53">
        <f>E89*12*Parámetros!$F76*$W$14+AE88*(1+i_noc)</f>
        <v>2090565.9933485074</v>
      </c>
      <c r="AF89" s="53">
        <f t="shared" si="25"/>
        <v>222331.18326734853</v>
      </c>
      <c r="AG89" s="53">
        <f t="shared" si="26"/>
        <v>222331.18326734853</v>
      </c>
      <c r="AI89" s="74">
        <f>($A89=Esc_6c!D$9)*Z89/(12*_xlfn.XLOOKUP(AI$15,sexo_cnu,cnu))</f>
        <v>0</v>
      </c>
      <c r="AJ89" s="74">
        <f>($A89=Esc_6c!E$9)*AA89/(12*_xlfn.XLOOKUP(AJ$15,sexo_cnu,cnu))</f>
        <v>0</v>
      </c>
      <c r="AK89" s="74">
        <f>($A89=Esc_6c!D$9)*AB89/(12*_xlfn.XLOOKUP(AK$15,sexo_cnu,cnu))</f>
        <v>0</v>
      </c>
      <c r="AL89" s="74">
        <f>($A89=Esc_6c!E$9)*AC89/(12*_xlfn.XLOOKUP(AL$15,sexo_cnu,cnu))</f>
        <v>0</v>
      </c>
      <c r="AM89" s="53">
        <f>($A89=Esc_6c!D$9)*V89/(12*_xlfn.XLOOKUP(AM$15,sexo_cnu,cnu_noc))</f>
        <v>0</v>
      </c>
      <c r="AN89" s="53">
        <f>($A89=Esc_6c!E$9)*W89/(12*_xlfn.XLOOKUP(AN$15,sexo_cnu,cnu_noc))</f>
        <v>0</v>
      </c>
      <c r="AO89" s="53">
        <f>($A89=Esc_6c!D$9)*X89/(12*_xlfn.XLOOKUP(AO$15,sexo_cnu,cnu_noc))</f>
        <v>0</v>
      </c>
      <c r="AP89" s="53">
        <f>($A89=Esc_6c!E$9)*Y89/(12*_xlfn.XLOOKUP(AP$15,sexo_cnu,cnu_noc))</f>
        <v>0</v>
      </c>
      <c r="AQ89" s="53">
        <f>($A89=Esc_6c!E$9)*AD89/(12*_xlfn.XLOOKUP(AQ$15,sexo_cnu,cnu_noc))</f>
        <v>0</v>
      </c>
      <c r="AR89" s="53">
        <f>($A89=Esc_6c!E$9)*AE89/(12*_xlfn.XLOOKUP(AR$15,sexo_cnu,cnu_noc))</f>
        <v>0</v>
      </c>
      <c r="AS89" s="53">
        <f>($A89=Esc_6c!D$9)*AF89/(12*_xlfn.XLOOKUP(AS$15,sexo_cnu,cnu_noc))</f>
        <v>0</v>
      </c>
      <c r="AT89" s="53">
        <f>($A89=Esc_6c!E$9)*AG89/(12*_xlfn.XLOOKUP(AT$15,sexo_cnu,cnu_noc))</f>
        <v>0</v>
      </c>
      <c r="AU89" s="39"/>
      <c r="AV89" s="39"/>
    </row>
    <row r="90" spans="1:48" x14ac:dyDescent="0.25">
      <c r="A90" s="30">
        <v>2055</v>
      </c>
      <c r="B90" s="33">
        <f>w_uf*UF*Parámetros!C77</f>
        <v>1263992.3332262221</v>
      </c>
      <c r="C90" s="30">
        <f t="shared" si="33"/>
        <v>76</v>
      </c>
      <c r="D90" s="30">
        <f>((A90=Inputs!$C$12)*(Inputs!$D$12) + (A90=Inputs!$C$13)*(Inputs!$D$13) + (A90=Inputs!$C$14)*(Inputs!$D$14)) *(A90 &gt;= a_afil)*(A90&gt;=2024)</f>
        <v>0</v>
      </c>
      <c r="E90" s="30">
        <f>MIN(1,(A90=Inputs!$C$19)*Inputs!$D$19+(A90=Inputs!$C$20)*Inputs!$D$20+(A90=Inputs!$C$21)*Inputs!$D$21*(A90 &gt;= a_afil))</f>
        <v>0</v>
      </c>
      <c r="F90" s="30">
        <f t="shared" si="34"/>
        <v>0</v>
      </c>
      <c r="G90" s="30">
        <f t="shared" si="35"/>
        <v>0</v>
      </c>
      <c r="H90" s="30">
        <v>0.79729729890823364</v>
      </c>
      <c r="I90" s="37">
        <f t="shared" ref="I90:I121" si="40">IF(F90=1,+dens_cot,0)</f>
        <v>0</v>
      </c>
      <c r="J90" s="37">
        <f t="shared" ref="J90:J121" si="41">IF(G90=1,+dens_mujer,0)</f>
        <v>0</v>
      </c>
      <c r="K90" s="30">
        <f>1*OR(Inputs!$D$17=$A90,Inputs!$E$17=$A90)*($E90=0)*(F90=1)</f>
        <v>0</v>
      </c>
      <c r="L90" s="30">
        <f>1*OR(Inputs!$D$17=$A90,Inputs!$E$17=$A90)*($E90=0)*(G90=1)</f>
        <v>0</v>
      </c>
      <c r="M90" s="73">
        <f t="shared" si="31"/>
        <v>0</v>
      </c>
      <c r="N90" s="73">
        <f t="shared" si="32"/>
        <v>0</v>
      </c>
      <c r="O90" s="55">
        <f>MIN(Parámetros!$E77, _xlfn.XLOOKUP($A90,agnos,tope_ref_col)*UF)*12*I90*$P$14</f>
        <v>0</v>
      </c>
      <c r="P90" s="55">
        <f>MIN(Parámetros!$E77, _xlfn.XLOOKUP($A90,agnos,tope_ref_col)*UF)*12*J90*$P$14</f>
        <v>0</v>
      </c>
      <c r="Q90" s="70">
        <f t="shared" si="36"/>
        <v>0</v>
      </c>
      <c r="R90" s="70">
        <f t="shared" si="37"/>
        <v>0</v>
      </c>
      <c r="S90" s="68">
        <f t="shared" si="27"/>
        <v>0</v>
      </c>
      <c r="T90" s="68">
        <f t="shared" si="28"/>
        <v>0</v>
      </c>
      <c r="U90" s="38"/>
      <c r="V90" s="55">
        <f>IF($A90&gt;Esc_6c!D$9,0,M90*alpha  +V89*(1+i_noc))</f>
        <v>0</v>
      </c>
      <c r="W90" s="55">
        <f>IF($A90&gt;Esc_6c!E$9,0,N90*alpha  +W89*(1+i_noc))</f>
        <v>0</v>
      </c>
      <c r="X90" s="55">
        <f>IF($A90&gt;Esc_6c!D$9,0,O90*(1-alpha)+X89*(1+i_noc))</f>
        <v>0</v>
      </c>
      <c r="Y90" s="55">
        <f>IF($A90&gt;Esc_6c!E$9,0,P90*(1-alpha)+Y89*(1+i_noc))</f>
        <v>0</v>
      </c>
      <c r="Z90" s="54">
        <f t="shared" si="38"/>
        <v>0</v>
      </c>
      <c r="AA90" s="54">
        <f t="shared" si="39"/>
        <v>0</v>
      </c>
      <c r="AB90" s="55">
        <f t="shared" si="29"/>
        <v>0</v>
      </c>
      <c r="AC90" s="55">
        <f t="shared" si="30"/>
        <v>0</v>
      </c>
      <c r="AD90" s="53">
        <f>D90*mmater*Parámetros!$G77*$W$14+AD89*(1+i_noc)</f>
        <v>0</v>
      </c>
      <c r="AE90" s="53">
        <f>E90*12*Parámetros!$F77*$W$14+AE89*(1+i_noc)</f>
        <v>2132377.3132154779</v>
      </c>
      <c r="AF90" s="53">
        <f t="shared" si="25"/>
        <v>226777.8069326955</v>
      </c>
      <c r="AG90" s="53">
        <f t="shared" si="26"/>
        <v>226777.8069326955</v>
      </c>
      <c r="AI90" s="74">
        <f>($A90=Esc_6c!D$9)*Z90/(12*_xlfn.XLOOKUP(AI$15,sexo_cnu,cnu))</f>
        <v>0</v>
      </c>
      <c r="AJ90" s="74">
        <f>($A90=Esc_6c!E$9)*AA90/(12*_xlfn.XLOOKUP(AJ$15,sexo_cnu,cnu))</f>
        <v>0</v>
      </c>
      <c r="AK90" s="74">
        <f>($A90=Esc_6c!D$9)*AB90/(12*_xlfn.XLOOKUP(AK$15,sexo_cnu,cnu))</f>
        <v>0</v>
      </c>
      <c r="AL90" s="74">
        <f>($A90=Esc_6c!E$9)*AC90/(12*_xlfn.XLOOKUP(AL$15,sexo_cnu,cnu))</f>
        <v>0</v>
      </c>
      <c r="AM90" s="53">
        <f>($A90=Esc_6c!D$9)*V90/(12*_xlfn.XLOOKUP(AM$15,sexo_cnu,cnu_noc))</f>
        <v>0</v>
      </c>
      <c r="AN90" s="53">
        <f>($A90=Esc_6c!E$9)*W90/(12*_xlfn.XLOOKUP(AN$15,sexo_cnu,cnu_noc))</f>
        <v>0</v>
      </c>
      <c r="AO90" s="53">
        <f>($A90=Esc_6c!D$9)*X90/(12*_xlfn.XLOOKUP(AO$15,sexo_cnu,cnu_noc))</f>
        <v>0</v>
      </c>
      <c r="AP90" s="53">
        <f>($A90=Esc_6c!E$9)*Y90/(12*_xlfn.XLOOKUP(AP$15,sexo_cnu,cnu_noc))</f>
        <v>0</v>
      </c>
      <c r="AQ90" s="53">
        <f>($A90=Esc_6c!E$9)*AD90/(12*_xlfn.XLOOKUP(AQ$15,sexo_cnu,cnu_noc))</f>
        <v>0</v>
      </c>
      <c r="AR90" s="53">
        <f>($A90=Esc_6c!E$9)*AE90/(12*_xlfn.XLOOKUP(AR$15,sexo_cnu,cnu_noc))</f>
        <v>0</v>
      </c>
      <c r="AS90" s="53">
        <f>($A90=Esc_6c!D$9)*AF90/(12*_xlfn.XLOOKUP(AS$15,sexo_cnu,cnu_noc))</f>
        <v>0</v>
      </c>
      <c r="AT90" s="53">
        <f>($A90=Esc_6c!E$9)*AG90/(12*_xlfn.XLOOKUP(AT$15,sexo_cnu,cnu_noc))</f>
        <v>0</v>
      </c>
      <c r="AU90" s="39"/>
      <c r="AV90" s="39"/>
    </row>
    <row r="91" spans="1:48" x14ac:dyDescent="0.25">
      <c r="A91" s="30">
        <v>2056</v>
      </c>
      <c r="B91" s="33">
        <f>w_uf*UF*Parámetros!C78</f>
        <v>1279792.2373915499</v>
      </c>
      <c r="C91" s="30">
        <f t="shared" si="33"/>
        <v>77</v>
      </c>
      <c r="D91" s="30">
        <f>((A91=Inputs!$C$12)*(Inputs!$D$12) + (A91=Inputs!$C$13)*(Inputs!$D$13) + (A91=Inputs!$C$14)*(Inputs!$D$14)) *(A91 &gt;= a_afil)*(A91&gt;=2024)</f>
        <v>0</v>
      </c>
      <c r="E91" s="30">
        <f>MIN(1,(A91=Inputs!$C$19)*Inputs!$D$19+(A91=Inputs!$C$20)*Inputs!$D$20+(A91=Inputs!$C$21)*Inputs!$D$21*(A91 &gt;= a_afil))</f>
        <v>0</v>
      </c>
      <c r="F91" s="30">
        <f t="shared" si="34"/>
        <v>0</v>
      </c>
      <c r="G91" s="30">
        <f t="shared" si="35"/>
        <v>0</v>
      </c>
      <c r="H91" s="30">
        <v>0.69628500938415527</v>
      </c>
      <c r="I91" s="37">
        <f t="shared" si="40"/>
        <v>0</v>
      </c>
      <c r="J91" s="37">
        <f t="shared" si="41"/>
        <v>0</v>
      </c>
      <c r="K91" s="30">
        <f>1*OR(Inputs!$D$17=$A91,Inputs!$E$17=$A91)*($E91=0)*(F91=1)</f>
        <v>0</v>
      </c>
      <c r="L91" s="30">
        <f>1*OR(Inputs!$D$17=$A91,Inputs!$E$17=$A91)*($E91=0)*(G91=1)</f>
        <v>0</v>
      </c>
      <c r="M91" s="73">
        <f t="shared" si="31"/>
        <v>0</v>
      </c>
      <c r="N91" s="73">
        <f t="shared" si="32"/>
        <v>0</v>
      </c>
      <c r="O91" s="55">
        <f>MIN(Parámetros!$E78, _xlfn.XLOOKUP($A91,agnos,tope_ref_col)*UF)*12*I91*$P$14</f>
        <v>0</v>
      </c>
      <c r="P91" s="55">
        <f>MIN(Parámetros!$E78, _xlfn.XLOOKUP($A91,agnos,tope_ref_col)*UF)*12*J91*$P$14</f>
        <v>0</v>
      </c>
      <c r="Q91" s="70">
        <f t="shared" si="36"/>
        <v>0</v>
      </c>
      <c r="R91" s="70">
        <f t="shared" si="37"/>
        <v>0</v>
      </c>
      <c r="S91" s="68">
        <f t="shared" si="27"/>
        <v>0</v>
      </c>
      <c r="T91" s="68">
        <f t="shared" si="28"/>
        <v>0</v>
      </c>
      <c r="U91" s="38"/>
      <c r="V91" s="55">
        <f>IF($A91&gt;Esc_6c!D$9,0,M91*alpha  +V90*(1+i_noc))</f>
        <v>0</v>
      </c>
      <c r="W91" s="55">
        <f>IF($A91&gt;Esc_6c!E$9,0,N91*alpha  +W90*(1+i_noc))</f>
        <v>0</v>
      </c>
      <c r="X91" s="55">
        <f>IF($A91&gt;Esc_6c!D$9,0,O91*(1-alpha)+X90*(1+i_noc))</f>
        <v>0</v>
      </c>
      <c r="Y91" s="55">
        <f>IF($A91&gt;Esc_6c!E$9,0,P91*(1-alpha)+Y90*(1+i_noc))</f>
        <v>0</v>
      </c>
      <c r="Z91" s="54">
        <f t="shared" si="38"/>
        <v>0</v>
      </c>
      <c r="AA91" s="54">
        <f t="shared" si="39"/>
        <v>0</v>
      </c>
      <c r="AB91" s="55">
        <f t="shared" si="29"/>
        <v>0</v>
      </c>
      <c r="AC91" s="55">
        <f t="shared" si="30"/>
        <v>0</v>
      </c>
      <c r="AD91" s="53">
        <f>D91*mmater*Parámetros!$G78*$W$14+AD90*(1+i_noc)</f>
        <v>0</v>
      </c>
      <c r="AE91" s="53">
        <f>E91*12*Parámetros!$F78*$W$14+AE90*(1+i_noc)</f>
        <v>2175024.8594797873</v>
      </c>
      <c r="AF91" s="53">
        <f t="shared" si="25"/>
        <v>231313.36307134942</v>
      </c>
      <c r="AG91" s="53">
        <f t="shared" si="26"/>
        <v>231313.36307134942</v>
      </c>
      <c r="AI91" s="74">
        <f>($A91=Esc_6c!D$9)*Z91/(12*_xlfn.XLOOKUP(AI$15,sexo_cnu,cnu))</f>
        <v>0</v>
      </c>
      <c r="AJ91" s="74">
        <f>($A91=Esc_6c!E$9)*AA91/(12*_xlfn.XLOOKUP(AJ$15,sexo_cnu,cnu))</f>
        <v>0</v>
      </c>
      <c r="AK91" s="74">
        <f>($A91=Esc_6c!D$9)*AB91/(12*_xlfn.XLOOKUP(AK$15,sexo_cnu,cnu))</f>
        <v>0</v>
      </c>
      <c r="AL91" s="74">
        <f>($A91=Esc_6c!E$9)*AC91/(12*_xlfn.XLOOKUP(AL$15,sexo_cnu,cnu))</f>
        <v>0</v>
      </c>
      <c r="AM91" s="53">
        <f>($A91=Esc_6c!D$9)*V91/(12*_xlfn.XLOOKUP(AM$15,sexo_cnu,cnu_noc))</f>
        <v>0</v>
      </c>
      <c r="AN91" s="53">
        <f>($A91=Esc_6c!E$9)*W91/(12*_xlfn.XLOOKUP(AN$15,sexo_cnu,cnu_noc))</f>
        <v>0</v>
      </c>
      <c r="AO91" s="53">
        <f>($A91=Esc_6c!D$9)*X91/(12*_xlfn.XLOOKUP(AO$15,sexo_cnu,cnu_noc))</f>
        <v>0</v>
      </c>
      <c r="AP91" s="53">
        <f>($A91=Esc_6c!E$9)*Y91/(12*_xlfn.XLOOKUP(AP$15,sexo_cnu,cnu_noc))</f>
        <v>0</v>
      </c>
      <c r="AQ91" s="53">
        <f>($A91=Esc_6c!E$9)*AD91/(12*_xlfn.XLOOKUP(AQ$15,sexo_cnu,cnu_noc))</f>
        <v>0</v>
      </c>
      <c r="AR91" s="53">
        <f>($A91=Esc_6c!E$9)*AE91/(12*_xlfn.XLOOKUP(AR$15,sexo_cnu,cnu_noc))</f>
        <v>0</v>
      </c>
      <c r="AS91" s="53">
        <f>($A91=Esc_6c!D$9)*AF91/(12*_xlfn.XLOOKUP(AS$15,sexo_cnu,cnu_noc))</f>
        <v>0</v>
      </c>
      <c r="AT91" s="53">
        <f>($A91=Esc_6c!E$9)*AG91/(12*_xlfn.XLOOKUP(AT$15,sexo_cnu,cnu_noc))</f>
        <v>0</v>
      </c>
      <c r="AU91" s="39"/>
      <c r="AV91" s="39"/>
    </row>
    <row r="92" spans="1:48" x14ac:dyDescent="0.25">
      <c r="A92" s="30">
        <v>2057</v>
      </c>
      <c r="B92" s="33">
        <f>w_uf*UF*Parámetros!C79</f>
        <v>1295789.6403589442</v>
      </c>
      <c r="C92" s="30">
        <f t="shared" si="33"/>
        <v>78</v>
      </c>
      <c r="D92" s="30">
        <f>((A92=Inputs!$C$12)*(Inputs!$D$12) + (A92=Inputs!$C$13)*(Inputs!$D$13) + (A92=Inputs!$C$14)*(Inputs!$D$14)) *(A92 &gt;= a_afil)*(A92&gt;=2024)</f>
        <v>0</v>
      </c>
      <c r="E92" s="30">
        <f>MIN(1,(A92=Inputs!$C$19)*Inputs!$D$19+(A92=Inputs!$C$20)*Inputs!$D$20+(A92=Inputs!$C$21)*Inputs!$D$21*(A92 &gt;= a_afil))</f>
        <v>0</v>
      </c>
      <c r="F92" s="30">
        <f t="shared" si="34"/>
        <v>0</v>
      </c>
      <c r="G92" s="30">
        <f t="shared" si="35"/>
        <v>0</v>
      </c>
      <c r="H92" s="30">
        <v>0.40160459280014038</v>
      </c>
      <c r="I92" s="37">
        <f t="shared" si="40"/>
        <v>0</v>
      </c>
      <c r="J92" s="37">
        <f t="shared" si="41"/>
        <v>0</v>
      </c>
      <c r="K92" s="30">
        <f>1*OR(Inputs!$D$17=$A92,Inputs!$E$17=$A92)*($E92=0)*(F92=1)</f>
        <v>0</v>
      </c>
      <c r="L92" s="30">
        <f>1*OR(Inputs!$D$17=$A92,Inputs!$E$17=$A92)*($E92=0)*(G92=1)</f>
        <v>0</v>
      </c>
      <c r="M92" s="73">
        <f t="shared" si="31"/>
        <v>0</v>
      </c>
      <c r="N92" s="73">
        <f t="shared" si="32"/>
        <v>0</v>
      </c>
      <c r="O92" s="55">
        <f>MIN(Parámetros!$E79, _xlfn.XLOOKUP($A92,agnos,tope_ref_col)*UF)*12*I92*$P$14</f>
        <v>0</v>
      </c>
      <c r="P92" s="55">
        <f>MIN(Parámetros!$E79, _xlfn.XLOOKUP($A92,agnos,tope_ref_col)*UF)*12*J92*$P$14</f>
        <v>0</v>
      </c>
      <c r="Q92" s="70">
        <f t="shared" si="36"/>
        <v>0</v>
      </c>
      <c r="R92" s="70">
        <f t="shared" si="37"/>
        <v>0</v>
      </c>
      <c r="S92" s="68">
        <f t="shared" si="27"/>
        <v>0</v>
      </c>
      <c r="T92" s="68">
        <f t="shared" si="28"/>
        <v>0</v>
      </c>
      <c r="U92" s="38"/>
      <c r="V92" s="55">
        <f>IF($A92&gt;Esc_6c!D$9,0,M92*alpha  +V91*(1+i_noc))</f>
        <v>0</v>
      </c>
      <c r="W92" s="55">
        <f>IF($A92&gt;Esc_6c!E$9,0,N92*alpha  +W91*(1+i_noc))</f>
        <v>0</v>
      </c>
      <c r="X92" s="55">
        <f>IF($A92&gt;Esc_6c!D$9,0,O92*(1-alpha)+X91*(1+i_noc))</f>
        <v>0</v>
      </c>
      <c r="Y92" s="55">
        <f>IF($A92&gt;Esc_6c!E$9,0,P92*(1-alpha)+Y91*(1+i_noc))</f>
        <v>0</v>
      </c>
      <c r="Z92" s="54">
        <f t="shared" si="38"/>
        <v>0</v>
      </c>
      <c r="AA92" s="54">
        <f t="shared" si="39"/>
        <v>0</v>
      </c>
      <c r="AB92" s="55">
        <f t="shared" si="29"/>
        <v>0</v>
      </c>
      <c r="AC92" s="55">
        <f t="shared" si="30"/>
        <v>0</v>
      </c>
      <c r="AD92" s="53">
        <f>D92*mmater*Parámetros!$G79*$W$14+AD91*(1+i_noc)</f>
        <v>0</v>
      </c>
      <c r="AE92" s="53">
        <f>E92*12*Parámetros!$F79*$W$14+AE91*(1+i_noc)</f>
        <v>2218525.3566693831</v>
      </c>
      <c r="AF92" s="53">
        <f t="shared" ref="AF92:AF123" si="42">IFERROR(K92*$B92*_xlfn.XLOOKUP(n_mes_laguna,giros_sc,tr_sc_acum)*$N$14,0)+AF91*(1+i_noc)</f>
        <v>235939.6303327764</v>
      </c>
      <c r="AG92" s="53">
        <f t="shared" ref="AG92:AG123" si="43">IFERROR(L92*$B92*_xlfn.XLOOKUP(n_mes_laguna,giros_sc,tr_sc_acum)*$N$14,0)+AG91*(1+i_noc)</f>
        <v>235939.6303327764</v>
      </c>
      <c r="AI92" s="74">
        <f>($A92=Esc_6c!D$9)*Z92/(12*_xlfn.XLOOKUP(AI$15,sexo_cnu,cnu))</f>
        <v>0</v>
      </c>
      <c r="AJ92" s="74">
        <f>($A92=Esc_6c!E$9)*AA92/(12*_xlfn.XLOOKUP(AJ$15,sexo_cnu,cnu))</f>
        <v>0</v>
      </c>
      <c r="AK92" s="74">
        <f>($A92=Esc_6c!D$9)*AB92/(12*_xlfn.XLOOKUP(AK$15,sexo_cnu,cnu))</f>
        <v>0</v>
      </c>
      <c r="AL92" s="74">
        <f>($A92=Esc_6c!E$9)*AC92/(12*_xlfn.XLOOKUP(AL$15,sexo_cnu,cnu))</f>
        <v>0</v>
      </c>
      <c r="AM92" s="53">
        <f>($A92=Esc_6c!D$9)*V92/(12*_xlfn.XLOOKUP(AM$15,sexo_cnu,cnu_noc))</f>
        <v>0</v>
      </c>
      <c r="AN92" s="53">
        <f>($A92=Esc_6c!E$9)*W92/(12*_xlfn.XLOOKUP(AN$15,sexo_cnu,cnu_noc))</f>
        <v>0</v>
      </c>
      <c r="AO92" s="53">
        <f>($A92=Esc_6c!D$9)*X92/(12*_xlfn.XLOOKUP(AO$15,sexo_cnu,cnu_noc))</f>
        <v>0</v>
      </c>
      <c r="AP92" s="53">
        <f>($A92=Esc_6c!E$9)*Y92/(12*_xlfn.XLOOKUP(AP$15,sexo_cnu,cnu_noc))</f>
        <v>0</v>
      </c>
      <c r="AQ92" s="53">
        <f>($A92=Esc_6c!E$9)*AD92/(12*_xlfn.XLOOKUP(AQ$15,sexo_cnu,cnu_noc))</f>
        <v>0</v>
      </c>
      <c r="AR92" s="53">
        <f>($A92=Esc_6c!E$9)*AE92/(12*_xlfn.XLOOKUP(AR$15,sexo_cnu,cnu_noc))</f>
        <v>0</v>
      </c>
      <c r="AS92" s="53">
        <f>($A92=Esc_6c!D$9)*AF92/(12*_xlfn.XLOOKUP(AS$15,sexo_cnu,cnu_noc))</f>
        <v>0</v>
      </c>
      <c r="AT92" s="53">
        <f>($A92=Esc_6c!E$9)*AG92/(12*_xlfn.XLOOKUP(AT$15,sexo_cnu,cnu_noc))</f>
        <v>0</v>
      </c>
      <c r="AU92" s="39"/>
      <c r="AV92" s="39"/>
    </row>
    <row r="93" spans="1:48" x14ac:dyDescent="0.25">
      <c r="A93" s="30">
        <v>2058</v>
      </c>
      <c r="B93" s="33">
        <f>w_uf*UF*Parámetros!C80</f>
        <v>1311987.010863431</v>
      </c>
      <c r="C93" s="30">
        <f t="shared" si="33"/>
        <v>79</v>
      </c>
      <c r="D93" s="30">
        <f>((A93=Inputs!$C$12)*(Inputs!$D$12) + (A93=Inputs!$C$13)*(Inputs!$D$13) + (A93=Inputs!$C$14)*(Inputs!$D$14)) *(A93 &gt;= a_afil)*(A93&gt;=2024)</f>
        <v>0</v>
      </c>
      <c r="E93" s="30">
        <f>MIN(1,(A93=Inputs!$C$19)*Inputs!$D$19+(A93=Inputs!$C$20)*Inputs!$D$20+(A93=Inputs!$C$21)*Inputs!$D$21*(A93 &gt;= a_afil))</f>
        <v>0</v>
      </c>
      <c r="F93" s="30">
        <f t="shared" si="34"/>
        <v>0</v>
      </c>
      <c r="G93" s="30">
        <f t="shared" si="35"/>
        <v>0</v>
      </c>
      <c r="H93" s="30">
        <v>1.6297698020935059E-2</v>
      </c>
      <c r="I93" s="37">
        <f t="shared" si="40"/>
        <v>0</v>
      </c>
      <c r="J93" s="37">
        <f t="shared" si="41"/>
        <v>0</v>
      </c>
      <c r="K93" s="30">
        <f>1*OR(Inputs!$D$17=$A93,Inputs!$E$17=$A93)*($E93=0)*(F93=1)</f>
        <v>0</v>
      </c>
      <c r="L93" s="30">
        <f>1*OR(Inputs!$D$17=$A93,Inputs!$E$17=$A93)*($E93=0)*(G93=1)</f>
        <v>0</v>
      </c>
      <c r="M93" s="73">
        <f t="shared" si="31"/>
        <v>0</v>
      </c>
      <c r="N93" s="73">
        <f t="shared" si="32"/>
        <v>0</v>
      </c>
      <c r="O93" s="55">
        <f>MIN(Parámetros!$E80, _xlfn.XLOOKUP($A93,agnos,tope_ref_col)*UF)*12*I93*$P$14</f>
        <v>0</v>
      </c>
      <c r="P93" s="55">
        <f>MIN(Parámetros!$E80, _xlfn.XLOOKUP($A93,agnos,tope_ref_col)*UF)*12*J93*$P$14</f>
        <v>0</v>
      </c>
      <c r="Q93" s="70">
        <f t="shared" si="36"/>
        <v>0</v>
      </c>
      <c r="R93" s="70">
        <f t="shared" si="37"/>
        <v>0</v>
      </c>
      <c r="S93" s="68">
        <f t="shared" ref="S93:S124" si="44">MIN($B93,_xlfn.XLOOKUP($A93,agnos,tope_ref_ind)*UF)*(12*I93 + K93*_xlfn.XLOOKUP(n_mes_laguna,giros_sc,tr_sc_acum)) * $X$3</f>
        <v>0</v>
      </c>
      <c r="T93" s="68">
        <f t="shared" ref="T93:T124" si="45">MIN($B93,_xlfn.XLOOKUP($A93,agnos,tope_ref_ind)*UF)*(12*J93 + L93*_xlfn.XLOOKUP(n_mes_laguna,giros_sc,tr_sc_acum)) * $X$3</f>
        <v>0</v>
      </c>
      <c r="U93" s="38"/>
      <c r="V93" s="55">
        <f>IF($A93&gt;Esc_6c!D$9,0,M93*alpha  +V92*(1+i_noc))</f>
        <v>0</v>
      </c>
      <c r="W93" s="55">
        <f>IF($A93&gt;Esc_6c!E$9,0,N93*alpha  +W92*(1+i_noc))</f>
        <v>0</v>
      </c>
      <c r="X93" s="55">
        <f>IF($A93&gt;Esc_6c!D$9,0,O93*(1-alpha)+X92*(1+i_noc))</f>
        <v>0</v>
      </c>
      <c r="Y93" s="55">
        <f>IF($A93&gt;Esc_6c!E$9,0,P93*(1-alpha)+Y92*(1+i_noc))</f>
        <v>0</v>
      </c>
      <c r="Z93" s="54">
        <f t="shared" si="38"/>
        <v>0</v>
      </c>
      <c r="AA93" s="54">
        <f t="shared" si="39"/>
        <v>0</v>
      </c>
      <c r="AB93" s="55">
        <f t="shared" ref="AB93:AB124" si="46">IF(OR(F93,F92),AB92*(1+_xlfn.XLOOKUP(MIN(2024,$A92),agnos_rent,rent_base))*(1-$X$6)+S93,0)</f>
        <v>0</v>
      </c>
      <c r="AC93" s="55">
        <f t="shared" ref="AC93:AC124" si="47">IF(OR(G93,G92),AC92*(1+_xlfn.XLOOKUP(MIN(2024,$A92),agnos_rent,rent_base))*(1-$X$6)+T93,0)</f>
        <v>0</v>
      </c>
      <c r="AD93" s="53">
        <f>D93*mmater*Parámetros!$G80*$W$14+AD92*(1+i_noc)</f>
        <v>0</v>
      </c>
      <c r="AE93" s="53">
        <f>E93*12*Parámetros!$F80*$W$14+AE92*(1+i_noc)</f>
        <v>2262895.8638027706</v>
      </c>
      <c r="AF93" s="53">
        <f t="shared" si="42"/>
        <v>240658.42293943194</v>
      </c>
      <c r="AG93" s="53">
        <f t="shared" si="43"/>
        <v>240658.42293943194</v>
      </c>
      <c r="AI93" s="74">
        <f>($A93=Esc_6c!D$9)*Z93/(12*_xlfn.XLOOKUP(AI$15,sexo_cnu,cnu))</f>
        <v>0</v>
      </c>
      <c r="AJ93" s="74">
        <f>($A93=Esc_6c!E$9)*AA93/(12*_xlfn.XLOOKUP(AJ$15,sexo_cnu,cnu))</f>
        <v>0</v>
      </c>
      <c r="AK93" s="74">
        <f>($A93=Esc_6c!D$9)*AB93/(12*_xlfn.XLOOKUP(AK$15,sexo_cnu,cnu))</f>
        <v>0</v>
      </c>
      <c r="AL93" s="74">
        <f>($A93=Esc_6c!E$9)*AC93/(12*_xlfn.XLOOKUP(AL$15,sexo_cnu,cnu))</f>
        <v>0</v>
      </c>
      <c r="AM93" s="53">
        <f>($A93=Esc_6c!D$9)*V93/(12*_xlfn.XLOOKUP(AM$15,sexo_cnu,cnu_noc))</f>
        <v>0</v>
      </c>
      <c r="AN93" s="53">
        <f>($A93=Esc_6c!E$9)*W93/(12*_xlfn.XLOOKUP(AN$15,sexo_cnu,cnu_noc))</f>
        <v>0</v>
      </c>
      <c r="AO93" s="53">
        <f>($A93=Esc_6c!D$9)*X93/(12*_xlfn.XLOOKUP(AO$15,sexo_cnu,cnu_noc))</f>
        <v>0</v>
      </c>
      <c r="AP93" s="53">
        <f>($A93=Esc_6c!E$9)*Y93/(12*_xlfn.XLOOKUP(AP$15,sexo_cnu,cnu_noc))</f>
        <v>0</v>
      </c>
      <c r="AQ93" s="53">
        <f>($A93=Esc_6c!E$9)*AD93/(12*_xlfn.XLOOKUP(AQ$15,sexo_cnu,cnu_noc))</f>
        <v>0</v>
      </c>
      <c r="AR93" s="53">
        <f>($A93=Esc_6c!E$9)*AE93/(12*_xlfn.XLOOKUP(AR$15,sexo_cnu,cnu_noc))</f>
        <v>0</v>
      </c>
      <c r="AS93" s="53">
        <f>($A93=Esc_6c!D$9)*AF93/(12*_xlfn.XLOOKUP(AS$15,sexo_cnu,cnu_noc))</f>
        <v>0</v>
      </c>
      <c r="AT93" s="53">
        <f>($A93=Esc_6c!E$9)*AG93/(12*_xlfn.XLOOKUP(AT$15,sexo_cnu,cnu_noc))</f>
        <v>0</v>
      </c>
      <c r="AU93" s="39"/>
      <c r="AV93" s="39"/>
    </row>
    <row r="94" spans="1:48" x14ac:dyDescent="0.25">
      <c r="A94" s="30">
        <v>2059</v>
      </c>
      <c r="B94" s="33">
        <f>w_uf*UF*Parámetros!C81</f>
        <v>1328386.8484992238</v>
      </c>
      <c r="C94" s="30">
        <f t="shared" si="33"/>
        <v>80</v>
      </c>
      <c r="D94" s="30">
        <f>((A94=Inputs!$C$12)*(Inputs!$D$12) + (A94=Inputs!$C$13)*(Inputs!$D$13) + (A94=Inputs!$C$14)*(Inputs!$D$14)) *(A94 &gt;= a_afil)*(A94&gt;=2024)</f>
        <v>0</v>
      </c>
      <c r="E94" s="30">
        <f>MIN(1,(A94=Inputs!$C$19)*Inputs!$D$19+(A94=Inputs!$C$20)*Inputs!$D$20+(A94=Inputs!$C$21)*Inputs!$D$21*(A94 &gt;= a_afil))</f>
        <v>0</v>
      </c>
      <c r="F94" s="30">
        <f t="shared" si="34"/>
        <v>0</v>
      </c>
      <c r="G94" s="30">
        <f t="shared" si="35"/>
        <v>0</v>
      </c>
      <c r="H94" s="30">
        <v>0.16776281595230103</v>
      </c>
      <c r="I94" s="37">
        <f t="shared" si="40"/>
        <v>0</v>
      </c>
      <c r="J94" s="37">
        <f t="shared" si="41"/>
        <v>0</v>
      </c>
      <c r="K94" s="30">
        <f>1*OR(Inputs!$D$17=$A94,Inputs!$E$17=$A94)*($E94=0)*(F94=1)</f>
        <v>0</v>
      </c>
      <c r="L94" s="30">
        <f>1*OR(Inputs!$D$17=$A94,Inputs!$E$17=$A94)*($E94=0)*(G94=1)</f>
        <v>0</v>
      </c>
      <c r="M94" s="73">
        <f t="shared" si="31"/>
        <v>0</v>
      </c>
      <c r="N94" s="73">
        <f t="shared" si="32"/>
        <v>0</v>
      </c>
      <c r="O94" s="55">
        <f>MIN(Parámetros!$E81, _xlfn.XLOOKUP($A94,agnos,tope_ref_col)*UF)*12*I94*$P$14</f>
        <v>0</v>
      </c>
      <c r="P94" s="55">
        <f>MIN(Parámetros!$E81, _xlfn.XLOOKUP($A94,agnos,tope_ref_col)*UF)*12*J94*$P$14</f>
        <v>0</v>
      </c>
      <c r="Q94" s="70">
        <f t="shared" si="36"/>
        <v>0</v>
      </c>
      <c r="R94" s="70">
        <f t="shared" si="37"/>
        <v>0</v>
      </c>
      <c r="S94" s="68">
        <f t="shared" si="44"/>
        <v>0</v>
      </c>
      <c r="T94" s="68">
        <f t="shared" si="45"/>
        <v>0</v>
      </c>
      <c r="U94" s="38"/>
      <c r="V94" s="55">
        <f>IF($A94&gt;Esc_6c!D$9,0,M94*alpha  +V93*(1+i_noc))</f>
        <v>0</v>
      </c>
      <c r="W94" s="55">
        <f>IF($A94&gt;Esc_6c!E$9,0,N94*alpha  +W93*(1+i_noc))</f>
        <v>0</v>
      </c>
      <c r="X94" s="55">
        <f>IF($A94&gt;Esc_6c!D$9,0,O94*(1-alpha)+X93*(1+i_noc))</f>
        <v>0</v>
      </c>
      <c r="Y94" s="55">
        <f>IF($A94&gt;Esc_6c!E$9,0,P94*(1-alpha)+Y93*(1+i_noc))</f>
        <v>0</v>
      </c>
      <c r="Z94" s="54">
        <f t="shared" si="38"/>
        <v>0</v>
      </c>
      <c r="AA94" s="54">
        <f t="shared" si="39"/>
        <v>0</v>
      </c>
      <c r="AB94" s="55">
        <f t="shared" si="46"/>
        <v>0</v>
      </c>
      <c r="AC94" s="55">
        <f t="shared" si="47"/>
        <v>0</v>
      </c>
      <c r="AD94" s="53">
        <f>D94*mmater*Parámetros!$G81*$W$14+AD93*(1+i_noc)</f>
        <v>0</v>
      </c>
      <c r="AE94" s="53">
        <f>E94*12*Parámetros!$F81*$W$14+AE93*(1+i_noc)</f>
        <v>2308153.7810788262</v>
      </c>
      <c r="AF94" s="53">
        <f t="shared" si="42"/>
        <v>245471.5913982206</v>
      </c>
      <c r="AG94" s="53">
        <f t="shared" si="43"/>
        <v>245471.5913982206</v>
      </c>
      <c r="AI94" s="74">
        <f>($A94=Esc_6c!D$9)*Z94/(12*_xlfn.XLOOKUP(AI$15,sexo_cnu,cnu))</f>
        <v>0</v>
      </c>
      <c r="AJ94" s="74">
        <f>($A94=Esc_6c!E$9)*AA94/(12*_xlfn.XLOOKUP(AJ$15,sexo_cnu,cnu))</f>
        <v>0</v>
      </c>
      <c r="AK94" s="74">
        <f>($A94=Esc_6c!D$9)*AB94/(12*_xlfn.XLOOKUP(AK$15,sexo_cnu,cnu))</f>
        <v>0</v>
      </c>
      <c r="AL94" s="74">
        <f>($A94=Esc_6c!E$9)*AC94/(12*_xlfn.XLOOKUP(AL$15,sexo_cnu,cnu))</f>
        <v>0</v>
      </c>
      <c r="AM94" s="53">
        <f>($A94=Esc_6c!D$9)*V94/(12*_xlfn.XLOOKUP(AM$15,sexo_cnu,cnu_noc))</f>
        <v>0</v>
      </c>
      <c r="AN94" s="53">
        <f>($A94=Esc_6c!E$9)*W94/(12*_xlfn.XLOOKUP(AN$15,sexo_cnu,cnu_noc))</f>
        <v>0</v>
      </c>
      <c r="AO94" s="53">
        <f>($A94=Esc_6c!D$9)*X94/(12*_xlfn.XLOOKUP(AO$15,sexo_cnu,cnu_noc))</f>
        <v>0</v>
      </c>
      <c r="AP94" s="53">
        <f>($A94=Esc_6c!E$9)*Y94/(12*_xlfn.XLOOKUP(AP$15,sexo_cnu,cnu_noc))</f>
        <v>0</v>
      </c>
      <c r="AQ94" s="53">
        <f>($A94=Esc_6c!E$9)*AD94/(12*_xlfn.XLOOKUP(AQ$15,sexo_cnu,cnu_noc))</f>
        <v>0</v>
      </c>
      <c r="AR94" s="53">
        <f>($A94=Esc_6c!E$9)*AE94/(12*_xlfn.XLOOKUP(AR$15,sexo_cnu,cnu_noc))</f>
        <v>0</v>
      </c>
      <c r="AS94" s="53">
        <f>($A94=Esc_6c!D$9)*AF94/(12*_xlfn.XLOOKUP(AS$15,sexo_cnu,cnu_noc))</f>
        <v>0</v>
      </c>
      <c r="AT94" s="53">
        <f>($A94=Esc_6c!E$9)*AG94/(12*_xlfn.XLOOKUP(AT$15,sexo_cnu,cnu_noc))</f>
        <v>0</v>
      </c>
      <c r="AU94" s="39"/>
      <c r="AV94" s="39"/>
    </row>
    <row r="95" spans="1:48" x14ac:dyDescent="0.25">
      <c r="A95" s="30">
        <v>2060</v>
      </c>
      <c r="B95" s="33">
        <f>w_uf*UF*Parámetros!C82</f>
        <v>1344991.6841054638</v>
      </c>
      <c r="C95" s="30">
        <f t="shared" si="33"/>
        <v>81</v>
      </c>
      <c r="D95" s="30">
        <f>((A95=Inputs!$C$12)*(Inputs!$D$12) + (A95=Inputs!$C$13)*(Inputs!$D$13) + (A95=Inputs!$C$14)*(Inputs!$D$14)) *(A95 &gt;= a_afil)*(A95&gt;=2024)</f>
        <v>0</v>
      </c>
      <c r="E95" s="30">
        <f>MIN(1,(A95=Inputs!$C$19)*Inputs!$D$19+(A95=Inputs!$C$20)*Inputs!$D$20+(A95=Inputs!$C$21)*Inputs!$D$21*(A95 &gt;= a_afil))</f>
        <v>0</v>
      </c>
      <c r="F95" s="30">
        <f t="shared" si="34"/>
        <v>0</v>
      </c>
      <c r="G95" s="30">
        <f t="shared" si="35"/>
        <v>0</v>
      </c>
      <c r="H95" s="30">
        <v>0.16423416137695313</v>
      </c>
      <c r="I95" s="37">
        <f t="shared" si="40"/>
        <v>0</v>
      </c>
      <c r="J95" s="37">
        <f t="shared" si="41"/>
        <v>0</v>
      </c>
      <c r="K95" s="30">
        <f>1*OR(Inputs!$D$17=$A95,Inputs!$E$17=$A95)*($E95=0)*(F95=1)</f>
        <v>0</v>
      </c>
      <c r="L95" s="30">
        <f>1*OR(Inputs!$D$17=$A95,Inputs!$E$17=$A95)*($E95=0)*(G95=1)</f>
        <v>0</v>
      </c>
      <c r="M95" s="73">
        <f t="shared" si="31"/>
        <v>0</v>
      </c>
      <c r="N95" s="73">
        <f t="shared" si="32"/>
        <v>0</v>
      </c>
      <c r="O95" s="55">
        <f>MIN(Parámetros!$E82, _xlfn.XLOOKUP($A95,agnos,tope_ref_col)*UF)*12*I95*$P$14</f>
        <v>0</v>
      </c>
      <c r="P95" s="55">
        <f>MIN(Parámetros!$E82, _xlfn.XLOOKUP($A95,agnos,tope_ref_col)*UF)*12*J95*$P$14</f>
        <v>0</v>
      </c>
      <c r="Q95" s="70">
        <f t="shared" si="36"/>
        <v>0</v>
      </c>
      <c r="R95" s="70">
        <f t="shared" si="37"/>
        <v>0</v>
      </c>
      <c r="S95" s="68">
        <f t="shared" si="44"/>
        <v>0</v>
      </c>
      <c r="T95" s="68">
        <f t="shared" si="45"/>
        <v>0</v>
      </c>
      <c r="U95" s="38"/>
      <c r="V95" s="55">
        <f>IF($A95&gt;Esc_6c!D$9,0,M95*alpha  +V94*(1+i_noc))</f>
        <v>0</v>
      </c>
      <c r="W95" s="55">
        <f>IF($A95&gt;Esc_6c!E$9,0,N95*alpha  +W94*(1+i_noc))</f>
        <v>0</v>
      </c>
      <c r="X95" s="55">
        <f>IF($A95&gt;Esc_6c!D$9,0,O95*(1-alpha)+X94*(1+i_noc))</f>
        <v>0</v>
      </c>
      <c r="Y95" s="55">
        <f>IF($A95&gt;Esc_6c!E$9,0,P95*(1-alpha)+Y94*(1+i_noc))</f>
        <v>0</v>
      </c>
      <c r="Z95" s="54">
        <f t="shared" si="38"/>
        <v>0</v>
      </c>
      <c r="AA95" s="54">
        <f t="shared" si="39"/>
        <v>0</v>
      </c>
      <c r="AB95" s="55">
        <f t="shared" si="46"/>
        <v>0</v>
      </c>
      <c r="AC95" s="55">
        <f t="shared" si="47"/>
        <v>0</v>
      </c>
      <c r="AD95" s="53">
        <f>D95*mmater*Parámetros!$G82*$W$14+AD94*(1+i_noc)</f>
        <v>0</v>
      </c>
      <c r="AE95" s="53">
        <f>E95*12*Parámetros!$F82*$W$14+AE94*(1+i_noc)</f>
        <v>2354316.8567004027</v>
      </c>
      <c r="AF95" s="53">
        <f t="shared" si="42"/>
        <v>250381.023226185</v>
      </c>
      <c r="AG95" s="53">
        <f t="shared" si="43"/>
        <v>250381.023226185</v>
      </c>
      <c r="AI95" s="74">
        <f>($A95=Esc_6c!D$9)*Z95/(12*_xlfn.XLOOKUP(AI$15,sexo_cnu,cnu))</f>
        <v>0</v>
      </c>
      <c r="AJ95" s="74">
        <f>($A95=Esc_6c!E$9)*AA95/(12*_xlfn.XLOOKUP(AJ$15,sexo_cnu,cnu))</f>
        <v>0</v>
      </c>
      <c r="AK95" s="74">
        <f>($A95=Esc_6c!D$9)*AB95/(12*_xlfn.XLOOKUP(AK$15,sexo_cnu,cnu))</f>
        <v>0</v>
      </c>
      <c r="AL95" s="74">
        <f>($A95=Esc_6c!E$9)*AC95/(12*_xlfn.XLOOKUP(AL$15,sexo_cnu,cnu))</f>
        <v>0</v>
      </c>
      <c r="AM95" s="53">
        <f>($A95=Esc_6c!D$9)*V95/(12*_xlfn.XLOOKUP(AM$15,sexo_cnu,cnu_noc))</f>
        <v>0</v>
      </c>
      <c r="AN95" s="53">
        <f>($A95=Esc_6c!E$9)*W95/(12*_xlfn.XLOOKUP(AN$15,sexo_cnu,cnu_noc))</f>
        <v>0</v>
      </c>
      <c r="AO95" s="53">
        <f>($A95=Esc_6c!D$9)*X95/(12*_xlfn.XLOOKUP(AO$15,sexo_cnu,cnu_noc))</f>
        <v>0</v>
      </c>
      <c r="AP95" s="53">
        <f>($A95=Esc_6c!E$9)*Y95/(12*_xlfn.XLOOKUP(AP$15,sexo_cnu,cnu_noc))</f>
        <v>0</v>
      </c>
      <c r="AQ95" s="53">
        <f>($A95=Esc_6c!E$9)*AD95/(12*_xlfn.XLOOKUP(AQ$15,sexo_cnu,cnu_noc))</f>
        <v>0</v>
      </c>
      <c r="AR95" s="53">
        <f>($A95=Esc_6c!E$9)*AE95/(12*_xlfn.XLOOKUP(AR$15,sexo_cnu,cnu_noc))</f>
        <v>0</v>
      </c>
      <c r="AS95" s="53">
        <f>($A95=Esc_6c!D$9)*AF95/(12*_xlfn.XLOOKUP(AS$15,sexo_cnu,cnu_noc))</f>
        <v>0</v>
      </c>
      <c r="AT95" s="53">
        <f>($A95=Esc_6c!E$9)*AG95/(12*_xlfn.XLOOKUP(AT$15,sexo_cnu,cnu_noc))</f>
        <v>0</v>
      </c>
      <c r="AU95" s="39"/>
      <c r="AV95" s="39"/>
    </row>
    <row r="96" spans="1:48" x14ac:dyDescent="0.25">
      <c r="A96" s="30">
        <v>2061</v>
      </c>
      <c r="B96" s="33">
        <f>w_uf*UF*Parámetros!C83</f>
        <v>1361804.0801567822</v>
      </c>
      <c r="C96" s="30">
        <f t="shared" si="33"/>
        <v>82</v>
      </c>
      <c r="D96" s="30">
        <f>((A96=Inputs!$C$12)*(Inputs!$D$12) + (A96=Inputs!$C$13)*(Inputs!$D$13) + (A96=Inputs!$C$14)*(Inputs!$D$14)) *(A96 &gt;= a_afil)*(A96&gt;=2024)</f>
        <v>0</v>
      </c>
      <c r="E96" s="30">
        <f>MIN(1,(A96=Inputs!$C$19)*Inputs!$D$19+(A96=Inputs!$C$20)*Inputs!$D$20+(A96=Inputs!$C$21)*Inputs!$D$21*(A96 &gt;= a_afil))</f>
        <v>0</v>
      </c>
      <c r="F96" s="30">
        <f t="shared" si="34"/>
        <v>0</v>
      </c>
      <c r="G96" s="30">
        <f t="shared" si="35"/>
        <v>0</v>
      </c>
      <c r="H96" s="30">
        <v>0.50972002744674683</v>
      </c>
      <c r="I96" s="37">
        <f t="shared" si="40"/>
        <v>0</v>
      </c>
      <c r="J96" s="37">
        <f t="shared" si="41"/>
        <v>0</v>
      </c>
      <c r="K96" s="30">
        <f>1*OR(Inputs!$D$17=$A96,Inputs!$E$17=$A96)*($E96=0)*(F96=1)</f>
        <v>0</v>
      </c>
      <c r="L96" s="30">
        <f>1*OR(Inputs!$D$17=$A96,Inputs!$E$17=$A96)*($E96=0)*(G96=1)</f>
        <v>0</v>
      </c>
      <c r="M96" s="73">
        <f t="shared" ref="M96:M127" si="48">MIN($B96,_xlfn.XLOOKUP($A96,agnos,tope_ref_col)*UF)*12*I96*$N$14</f>
        <v>0</v>
      </c>
      <c r="N96" s="73">
        <f t="shared" ref="N96:N127" si="49">MIN($B96,_xlfn.XLOOKUP($A96,agnos,tope_ref_col)*UF)*12*J96*$N$14</f>
        <v>0</v>
      </c>
      <c r="O96" s="55">
        <f>MIN(Parámetros!$E83, _xlfn.XLOOKUP($A96,agnos,tope_ref_col)*UF)*12*I96*$P$14</f>
        <v>0</v>
      </c>
      <c r="P96" s="55">
        <f>MIN(Parámetros!$E83, _xlfn.XLOOKUP($A96,agnos,tope_ref_col)*UF)*12*J96*$P$14</f>
        <v>0</v>
      </c>
      <c r="Q96" s="70">
        <f t="shared" si="36"/>
        <v>0</v>
      </c>
      <c r="R96" s="70">
        <f t="shared" si="37"/>
        <v>0</v>
      </c>
      <c r="S96" s="68">
        <f t="shared" si="44"/>
        <v>0</v>
      </c>
      <c r="T96" s="68">
        <f t="shared" si="45"/>
        <v>0</v>
      </c>
      <c r="U96" s="38"/>
      <c r="V96" s="55">
        <f>IF($A96&gt;Esc_6c!D$9,0,M96*alpha  +V95*(1+i_noc))</f>
        <v>0</v>
      </c>
      <c r="W96" s="55">
        <f>IF($A96&gt;Esc_6c!E$9,0,N96*alpha  +W95*(1+i_noc))</f>
        <v>0</v>
      </c>
      <c r="X96" s="55">
        <f>IF($A96&gt;Esc_6c!D$9,0,O96*(1-alpha)+X95*(1+i_noc))</f>
        <v>0</v>
      </c>
      <c r="Y96" s="55">
        <f>IF($A96&gt;Esc_6c!E$9,0,P96*(1-alpha)+Y95*(1+i_noc))</f>
        <v>0</v>
      </c>
      <c r="Z96" s="54">
        <f t="shared" si="38"/>
        <v>0</v>
      </c>
      <c r="AA96" s="54">
        <f t="shared" si="39"/>
        <v>0</v>
      </c>
      <c r="AB96" s="55">
        <f t="shared" si="46"/>
        <v>0</v>
      </c>
      <c r="AC96" s="55">
        <f t="shared" si="47"/>
        <v>0</v>
      </c>
      <c r="AD96" s="53">
        <f>D96*mmater*Parámetros!$G83*$W$14+AD95*(1+i_noc)</f>
        <v>0</v>
      </c>
      <c r="AE96" s="53">
        <f>E96*12*Parámetros!$F83*$W$14+AE95*(1+i_noc)</f>
        <v>2401403.193834411</v>
      </c>
      <c r="AF96" s="53">
        <f t="shared" si="42"/>
        <v>255388.6436907087</v>
      </c>
      <c r="AG96" s="53">
        <f t="shared" si="43"/>
        <v>255388.6436907087</v>
      </c>
      <c r="AI96" s="74">
        <f>($A96=Esc_6c!D$9)*Z96/(12*_xlfn.XLOOKUP(AI$15,sexo_cnu,cnu))</f>
        <v>0</v>
      </c>
      <c r="AJ96" s="74">
        <f>($A96=Esc_6c!E$9)*AA96/(12*_xlfn.XLOOKUP(AJ$15,sexo_cnu,cnu))</f>
        <v>0</v>
      </c>
      <c r="AK96" s="74">
        <f>($A96=Esc_6c!D$9)*AB96/(12*_xlfn.XLOOKUP(AK$15,sexo_cnu,cnu))</f>
        <v>0</v>
      </c>
      <c r="AL96" s="74">
        <f>($A96=Esc_6c!E$9)*AC96/(12*_xlfn.XLOOKUP(AL$15,sexo_cnu,cnu))</f>
        <v>0</v>
      </c>
      <c r="AM96" s="53">
        <f>($A96=Esc_6c!D$9)*V96/(12*_xlfn.XLOOKUP(AM$15,sexo_cnu,cnu_noc))</f>
        <v>0</v>
      </c>
      <c r="AN96" s="53">
        <f>($A96=Esc_6c!E$9)*W96/(12*_xlfn.XLOOKUP(AN$15,sexo_cnu,cnu_noc))</f>
        <v>0</v>
      </c>
      <c r="AO96" s="53">
        <f>($A96=Esc_6c!D$9)*X96/(12*_xlfn.XLOOKUP(AO$15,sexo_cnu,cnu_noc))</f>
        <v>0</v>
      </c>
      <c r="AP96" s="53">
        <f>($A96=Esc_6c!E$9)*Y96/(12*_xlfn.XLOOKUP(AP$15,sexo_cnu,cnu_noc))</f>
        <v>0</v>
      </c>
      <c r="AQ96" s="53">
        <f>($A96=Esc_6c!E$9)*AD96/(12*_xlfn.XLOOKUP(AQ$15,sexo_cnu,cnu_noc))</f>
        <v>0</v>
      </c>
      <c r="AR96" s="53">
        <f>($A96=Esc_6c!E$9)*AE96/(12*_xlfn.XLOOKUP(AR$15,sexo_cnu,cnu_noc))</f>
        <v>0</v>
      </c>
      <c r="AS96" s="53">
        <f>($A96=Esc_6c!D$9)*AF96/(12*_xlfn.XLOOKUP(AS$15,sexo_cnu,cnu_noc))</f>
        <v>0</v>
      </c>
      <c r="AT96" s="53">
        <f>($A96=Esc_6c!E$9)*AG96/(12*_xlfn.XLOOKUP(AT$15,sexo_cnu,cnu_noc))</f>
        <v>0</v>
      </c>
      <c r="AU96" s="39"/>
      <c r="AV96" s="39"/>
    </row>
    <row r="97" spans="1:48" x14ac:dyDescent="0.25">
      <c r="A97" s="30">
        <v>2062</v>
      </c>
      <c r="B97" s="33">
        <f>w_uf*UF*Parámetros!C84</f>
        <v>1378826.6311587419</v>
      </c>
      <c r="C97" s="30">
        <f t="shared" si="33"/>
        <v>83</v>
      </c>
      <c r="D97" s="30">
        <f>((A97=Inputs!$C$12)*(Inputs!$D$12) + (A97=Inputs!$C$13)*(Inputs!$D$13) + (A97=Inputs!$C$14)*(Inputs!$D$14)) *(A97 &gt;= a_afil)*(A97&gt;=2024)</f>
        <v>0</v>
      </c>
      <c r="E97" s="30">
        <f>MIN(1,(A97=Inputs!$C$19)*Inputs!$D$19+(A97=Inputs!$C$20)*Inputs!$D$20+(A97=Inputs!$C$21)*Inputs!$D$21*(A97 &gt;= a_afil))</f>
        <v>0</v>
      </c>
      <c r="F97" s="30">
        <f t="shared" si="34"/>
        <v>0</v>
      </c>
      <c r="G97" s="30">
        <f t="shared" si="35"/>
        <v>0</v>
      </c>
      <c r="H97" s="30">
        <v>0.40606272220611572</v>
      </c>
      <c r="I97" s="37">
        <f t="shared" si="40"/>
        <v>0</v>
      </c>
      <c r="J97" s="37">
        <f t="shared" si="41"/>
        <v>0</v>
      </c>
      <c r="K97" s="30">
        <f>1*OR(Inputs!$D$17=$A97,Inputs!$E$17=$A97)*($E97=0)*(F97=1)</f>
        <v>0</v>
      </c>
      <c r="L97" s="30">
        <f>1*OR(Inputs!$D$17=$A97,Inputs!$E$17=$A97)*($E97=0)*(G97=1)</f>
        <v>0</v>
      </c>
      <c r="M97" s="73">
        <f t="shared" si="48"/>
        <v>0</v>
      </c>
      <c r="N97" s="73">
        <f t="shared" si="49"/>
        <v>0</v>
      </c>
      <c r="O97" s="55">
        <f>MIN(Parámetros!$E84, _xlfn.XLOOKUP($A97,agnos,tope_ref_col)*UF)*12*I97*$P$14</f>
        <v>0</v>
      </c>
      <c r="P97" s="55">
        <f>MIN(Parámetros!$E84, _xlfn.XLOOKUP($A97,agnos,tope_ref_col)*UF)*12*J97*$P$14</f>
        <v>0</v>
      </c>
      <c r="Q97" s="70">
        <f t="shared" si="36"/>
        <v>0</v>
      </c>
      <c r="R97" s="70">
        <f t="shared" si="37"/>
        <v>0</v>
      </c>
      <c r="S97" s="68">
        <f t="shared" si="44"/>
        <v>0</v>
      </c>
      <c r="T97" s="68">
        <f t="shared" si="45"/>
        <v>0</v>
      </c>
      <c r="U97" s="38"/>
      <c r="V97" s="55">
        <f>IF($A97&gt;Esc_6c!D$9,0,M97*alpha  +V96*(1+i_noc))</f>
        <v>0</v>
      </c>
      <c r="W97" s="55">
        <f>IF($A97&gt;Esc_6c!E$9,0,N97*alpha  +W96*(1+i_noc))</f>
        <v>0</v>
      </c>
      <c r="X97" s="55">
        <f>IF($A97&gt;Esc_6c!D$9,0,O97*(1-alpha)+X96*(1+i_noc))</f>
        <v>0</v>
      </c>
      <c r="Y97" s="55">
        <f>IF($A97&gt;Esc_6c!E$9,0,P97*(1-alpha)+Y96*(1+i_noc))</f>
        <v>0</v>
      </c>
      <c r="Z97" s="54">
        <f t="shared" si="38"/>
        <v>0</v>
      </c>
      <c r="AA97" s="54">
        <f t="shared" si="39"/>
        <v>0</v>
      </c>
      <c r="AB97" s="55">
        <f t="shared" si="46"/>
        <v>0</v>
      </c>
      <c r="AC97" s="55">
        <f t="shared" si="47"/>
        <v>0</v>
      </c>
      <c r="AD97" s="53">
        <f>D97*mmater*Parámetros!$G84*$W$14+AD96*(1+i_noc)</f>
        <v>0</v>
      </c>
      <c r="AE97" s="53">
        <f>E97*12*Parámetros!$F84*$W$14+AE96*(1+i_noc)</f>
        <v>2449431.2577110995</v>
      </c>
      <c r="AF97" s="53">
        <f t="shared" si="42"/>
        <v>260496.41656452289</v>
      </c>
      <c r="AG97" s="53">
        <f t="shared" si="43"/>
        <v>260496.41656452289</v>
      </c>
      <c r="AI97" s="74">
        <f>($A97=Esc_6c!D$9)*Z97/(12*_xlfn.XLOOKUP(AI$15,sexo_cnu,cnu))</f>
        <v>0</v>
      </c>
      <c r="AJ97" s="74">
        <f>($A97=Esc_6c!E$9)*AA97/(12*_xlfn.XLOOKUP(AJ$15,sexo_cnu,cnu))</f>
        <v>0</v>
      </c>
      <c r="AK97" s="74">
        <f>($A97=Esc_6c!D$9)*AB97/(12*_xlfn.XLOOKUP(AK$15,sexo_cnu,cnu))</f>
        <v>0</v>
      </c>
      <c r="AL97" s="74">
        <f>($A97=Esc_6c!E$9)*AC97/(12*_xlfn.XLOOKUP(AL$15,sexo_cnu,cnu))</f>
        <v>0</v>
      </c>
      <c r="AM97" s="53">
        <f>($A97=Esc_6c!D$9)*V97/(12*_xlfn.XLOOKUP(AM$15,sexo_cnu,cnu_noc))</f>
        <v>0</v>
      </c>
      <c r="AN97" s="53">
        <f>($A97=Esc_6c!E$9)*W97/(12*_xlfn.XLOOKUP(AN$15,sexo_cnu,cnu_noc))</f>
        <v>0</v>
      </c>
      <c r="AO97" s="53">
        <f>($A97=Esc_6c!D$9)*X97/(12*_xlfn.XLOOKUP(AO$15,sexo_cnu,cnu_noc))</f>
        <v>0</v>
      </c>
      <c r="AP97" s="53">
        <f>($A97=Esc_6c!E$9)*Y97/(12*_xlfn.XLOOKUP(AP$15,sexo_cnu,cnu_noc))</f>
        <v>0</v>
      </c>
      <c r="AQ97" s="53">
        <f>($A97=Esc_6c!E$9)*AD97/(12*_xlfn.XLOOKUP(AQ$15,sexo_cnu,cnu_noc))</f>
        <v>0</v>
      </c>
      <c r="AR97" s="53">
        <f>($A97=Esc_6c!E$9)*AE97/(12*_xlfn.XLOOKUP(AR$15,sexo_cnu,cnu_noc))</f>
        <v>0</v>
      </c>
      <c r="AS97" s="53">
        <f>($A97=Esc_6c!D$9)*AF97/(12*_xlfn.XLOOKUP(AS$15,sexo_cnu,cnu_noc))</f>
        <v>0</v>
      </c>
      <c r="AT97" s="53">
        <f>($A97=Esc_6c!E$9)*AG97/(12*_xlfn.XLOOKUP(AT$15,sexo_cnu,cnu_noc))</f>
        <v>0</v>
      </c>
      <c r="AU97" s="39"/>
      <c r="AV97" s="39"/>
    </row>
    <row r="98" spans="1:48" x14ac:dyDescent="0.25">
      <c r="A98" s="30">
        <v>2063</v>
      </c>
      <c r="B98" s="33">
        <f>w_uf*UF*Parámetros!C85</f>
        <v>1396061.9640482261</v>
      </c>
      <c r="C98" s="30">
        <f t="shared" si="33"/>
        <v>84</v>
      </c>
      <c r="D98" s="30">
        <f>((A98=Inputs!$C$12)*(Inputs!$D$12) + (A98=Inputs!$C$13)*(Inputs!$D$13) + (A98=Inputs!$C$14)*(Inputs!$D$14)) *(A98 &gt;= a_afil)*(A98&gt;=2024)</f>
        <v>0</v>
      </c>
      <c r="E98" s="30">
        <f>MIN(1,(A98=Inputs!$C$19)*Inputs!$D$19+(A98=Inputs!$C$20)*Inputs!$D$20+(A98=Inputs!$C$21)*Inputs!$D$21*(A98 &gt;= a_afil))</f>
        <v>0</v>
      </c>
      <c r="F98" s="30">
        <f t="shared" si="34"/>
        <v>0</v>
      </c>
      <c r="G98" s="30">
        <f t="shared" si="35"/>
        <v>0</v>
      </c>
      <c r="H98" s="30">
        <v>0.10613375902175903</v>
      </c>
      <c r="I98" s="37">
        <f t="shared" si="40"/>
        <v>0</v>
      </c>
      <c r="J98" s="37">
        <f t="shared" si="41"/>
        <v>0</v>
      </c>
      <c r="K98" s="30">
        <f>1*OR(Inputs!$D$17=$A98,Inputs!$E$17=$A98)*($E98=0)*(F98=1)</f>
        <v>0</v>
      </c>
      <c r="L98" s="30">
        <f>1*OR(Inputs!$D$17=$A98,Inputs!$E$17=$A98)*($E98=0)*(G98=1)</f>
        <v>0</v>
      </c>
      <c r="M98" s="73">
        <f t="shared" si="48"/>
        <v>0</v>
      </c>
      <c r="N98" s="73">
        <f t="shared" si="49"/>
        <v>0</v>
      </c>
      <c r="O98" s="55">
        <f>MIN(Parámetros!$E85, _xlfn.XLOOKUP($A98,agnos,tope_ref_col)*UF)*12*I98*$P$14</f>
        <v>0</v>
      </c>
      <c r="P98" s="55">
        <f>MIN(Parámetros!$E85, _xlfn.XLOOKUP($A98,agnos,tope_ref_col)*UF)*12*J98*$P$14</f>
        <v>0</v>
      </c>
      <c r="Q98" s="70">
        <f t="shared" si="36"/>
        <v>0</v>
      </c>
      <c r="R98" s="70">
        <f t="shared" si="37"/>
        <v>0</v>
      </c>
      <c r="S98" s="68">
        <f t="shared" si="44"/>
        <v>0</v>
      </c>
      <c r="T98" s="68">
        <f t="shared" si="45"/>
        <v>0</v>
      </c>
      <c r="U98" s="38"/>
      <c r="V98" s="55">
        <f>IF($A98&gt;Esc_6c!D$9,0,M98*alpha  +V97*(1+i_noc))</f>
        <v>0</v>
      </c>
      <c r="W98" s="55">
        <f>IF($A98&gt;Esc_6c!E$9,0,N98*alpha  +W97*(1+i_noc))</f>
        <v>0</v>
      </c>
      <c r="X98" s="55">
        <f>IF($A98&gt;Esc_6c!D$9,0,O98*(1-alpha)+X97*(1+i_noc))</f>
        <v>0</v>
      </c>
      <c r="Y98" s="55">
        <f>IF($A98&gt;Esc_6c!E$9,0,P98*(1-alpha)+Y97*(1+i_noc))</f>
        <v>0</v>
      </c>
      <c r="Z98" s="54">
        <f t="shared" si="38"/>
        <v>0</v>
      </c>
      <c r="AA98" s="54">
        <f t="shared" si="39"/>
        <v>0</v>
      </c>
      <c r="AB98" s="55">
        <f t="shared" si="46"/>
        <v>0</v>
      </c>
      <c r="AC98" s="55">
        <f t="shared" si="47"/>
        <v>0</v>
      </c>
      <c r="AD98" s="53">
        <f>D98*mmater*Parámetros!$G85*$W$14+AD97*(1+i_noc)</f>
        <v>0</v>
      </c>
      <c r="AE98" s="53">
        <f>E98*12*Parámetros!$F85*$W$14+AE97*(1+i_noc)</f>
        <v>2498419.8828653214</v>
      </c>
      <c r="AF98" s="53">
        <f t="shared" si="42"/>
        <v>265706.34489581338</v>
      </c>
      <c r="AG98" s="53">
        <f t="shared" si="43"/>
        <v>265706.34489581338</v>
      </c>
      <c r="AI98" s="74">
        <f>($A98=Esc_6c!D$9)*Z98/(12*_xlfn.XLOOKUP(AI$15,sexo_cnu,cnu))</f>
        <v>0</v>
      </c>
      <c r="AJ98" s="74">
        <f>($A98=Esc_6c!E$9)*AA98/(12*_xlfn.XLOOKUP(AJ$15,sexo_cnu,cnu))</f>
        <v>0</v>
      </c>
      <c r="AK98" s="74">
        <f>($A98=Esc_6c!D$9)*AB98/(12*_xlfn.XLOOKUP(AK$15,sexo_cnu,cnu))</f>
        <v>0</v>
      </c>
      <c r="AL98" s="74">
        <f>($A98=Esc_6c!E$9)*AC98/(12*_xlfn.XLOOKUP(AL$15,sexo_cnu,cnu))</f>
        <v>0</v>
      </c>
      <c r="AM98" s="53">
        <f>($A98=Esc_6c!D$9)*V98/(12*_xlfn.XLOOKUP(AM$15,sexo_cnu,cnu_noc))</f>
        <v>0</v>
      </c>
      <c r="AN98" s="53">
        <f>($A98=Esc_6c!E$9)*W98/(12*_xlfn.XLOOKUP(AN$15,sexo_cnu,cnu_noc))</f>
        <v>0</v>
      </c>
      <c r="AO98" s="53">
        <f>($A98=Esc_6c!D$9)*X98/(12*_xlfn.XLOOKUP(AO$15,sexo_cnu,cnu_noc))</f>
        <v>0</v>
      </c>
      <c r="AP98" s="53">
        <f>($A98=Esc_6c!E$9)*Y98/(12*_xlfn.XLOOKUP(AP$15,sexo_cnu,cnu_noc))</f>
        <v>0</v>
      </c>
      <c r="AQ98" s="53">
        <f>($A98=Esc_6c!E$9)*AD98/(12*_xlfn.XLOOKUP(AQ$15,sexo_cnu,cnu_noc))</f>
        <v>0</v>
      </c>
      <c r="AR98" s="53">
        <f>($A98=Esc_6c!E$9)*AE98/(12*_xlfn.XLOOKUP(AR$15,sexo_cnu,cnu_noc))</f>
        <v>0</v>
      </c>
      <c r="AS98" s="53">
        <f>($A98=Esc_6c!D$9)*AF98/(12*_xlfn.XLOOKUP(AS$15,sexo_cnu,cnu_noc))</f>
        <v>0</v>
      </c>
      <c r="AT98" s="53">
        <f>($A98=Esc_6c!E$9)*AG98/(12*_xlfn.XLOOKUP(AT$15,sexo_cnu,cnu_noc))</f>
        <v>0</v>
      </c>
      <c r="AU98" s="39"/>
      <c r="AV98" s="39"/>
    </row>
    <row r="99" spans="1:48" x14ac:dyDescent="0.25">
      <c r="A99" s="30">
        <v>2064</v>
      </c>
      <c r="B99" s="33">
        <f>w_uf*UF*Parámetros!C86</f>
        <v>1413512.7385988289</v>
      </c>
      <c r="C99" s="30">
        <f t="shared" si="33"/>
        <v>85</v>
      </c>
      <c r="D99" s="30">
        <f>((A99=Inputs!$C$12)*(Inputs!$D$12) + (A99=Inputs!$C$13)*(Inputs!$D$13) + (A99=Inputs!$C$14)*(Inputs!$D$14)) *(A99 &gt;= a_afil)*(A99&gt;=2024)</f>
        <v>0</v>
      </c>
      <c r="E99" s="30">
        <f>MIN(1,(A99=Inputs!$C$19)*Inputs!$D$19+(A99=Inputs!$C$20)*Inputs!$D$20+(A99=Inputs!$C$21)*Inputs!$D$21*(A99 &gt;= a_afil))</f>
        <v>0</v>
      </c>
      <c r="F99" s="30">
        <f t="shared" si="34"/>
        <v>0</v>
      </c>
      <c r="G99" s="30">
        <f t="shared" si="35"/>
        <v>0</v>
      </c>
      <c r="H99" s="30">
        <v>0.2761232852935791</v>
      </c>
      <c r="I99" s="37">
        <f t="shared" si="40"/>
        <v>0</v>
      </c>
      <c r="J99" s="37">
        <f t="shared" si="41"/>
        <v>0</v>
      </c>
      <c r="K99" s="30">
        <f>1*OR(Inputs!$D$17=$A99,Inputs!$E$17=$A99)*($E99=0)*(F99=1)</f>
        <v>0</v>
      </c>
      <c r="L99" s="30">
        <f>1*OR(Inputs!$D$17=$A99,Inputs!$E$17=$A99)*($E99=0)*(G99=1)</f>
        <v>0</v>
      </c>
      <c r="M99" s="73">
        <f t="shared" si="48"/>
        <v>0</v>
      </c>
      <c r="N99" s="73">
        <f t="shared" si="49"/>
        <v>0</v>
      </c>
      <c r="O99" s="55">
        <f>MIN(Parámetros!$E86, _xlfn.XLOOKUP($A99,agnos,tope_ref_col)*UF)*12*I99*$P$14</f>
        <v>0</v>
      </c>
      <c r="P99" s="55">
        <f>MIN(Parámetros!$E86, _xlfn.XLOOKUP($A99,agnos,tope_ref_col)*UF)*12*J99*$P$14</f>
        <v>0</v>
      </c>
      <c r="Q99" s="70">
        <f t="shared" si="36"/>
        <v>0</v>
      </c>
      <c r="R99" s="70">
        <f t="shared" si="37"/>
        <v>0</v>
      </c>
      <c r="S99" s="68">
        <f t="shared" si="44"/>
        <v>0</v>
      </c>
      <c r="T99" s="68">
        <f t="shared" si="45"/>
        <v>0</v>
      </c>
      <c r="U99" s="38"/>
      <c r="V99" s="55">
        <f>IF($A99&gt;Esc_6c!D$9,0,M99*alpha  +V98*(1+i_noc))</f>
        <v>0</v>
      </c>
      <c r="W99" s="55">
        <f>IF($A99&gt;Esc_6c!E$9,0,N99*alpha  +W98*(1+i_noc))</f>
        <v>0</v>
      </c>
      <c r="X99" s="55">
        <f>IF($A99&gt;Esc_6c!D$9,0,O99*(1-alpha)+X98*(1+i_noc))</f>
        <v>0</v>
      </c>
      <c r="Y99" s="55">
        <f>IF($A99&gt;Esc_6c!E$9,0,P99*(1-alpha)+Y98*(1+i_noc))</f>
        <v>0</v>
      </c>
      <c r="Z99" s="54">
        <f t="shared" si="38"/>
        <v>0</v>
      </c>
      <c r="AA99" s="54">
        <f t="shared" si="39"/>
        <v>0</v>
      </c>
      <c r="AB99" s="55">
        <f t="shared" si="46"/>
        <v>0</v>
      </c>
      <c r="AC99" s="55">
        <f t="shared" si="47"/>
        <v>0</v>
      </c>
      <c r="AD99" s="53">
        <f>D99*mmater*Parámetros!$G86*$W$14+AD98*(1+i_noc)</f>
        <v>0</v>
      </c>
      <c r="AE99" s="53">
        <f>E99*12*Parámetros!$F86*$W$14+AE98*(1+i_noc)</f>
        <v>2548388.2805226278</v>
      </c>
      <c r="AF99" s="53">
        <f t="shared" si="42"/>
        <v>271020.47179372964</v>
      </c>
      <c r="AG99" s="53">
        <f t="shared" si="43"/>
        <v>271020.47179372964</v>
      </c>
      <c r="AI99" s="74">
        <f>($A99=Esc_6c!D$9)*Z99/(12*_xlfn.XLOOKUP(AI$15,sexo_cnu,cnu))</f>
        <v>0</v>
      </c>
      <c r="AJ99" s="74">
        <f>($A99=Esc_6c!E$9)*AA99/(12*_xlfn.XLOOKUP(AJ$15,sexo_cnu,cnu))</f>
        <v>0</v>
      </c>
      <c r="AK99" s="74">
        <f>($A99=Esc_6c!D$9)*AB99/(12*_xlfn.XLOOKUP(AK$15,sexo_cnu,cnu))</f>
        <v>0</v>
      </c>
      <c r="AL99" s="74">
        <f>($A99=Esc_6c!E$9)*AC99/(12*_xlfn.XLOOKUP(AL$15,sexo_cnu,cnu))</f>
        <v>0</v>
      </c>
      <c r="AM99" s="53">
        <f>($A99=Esc_6c!D$9)*V99/(12*_xlfn.XLOOKUP(AM$15,sexo_cnu,cnu_noc))</f>
        <v>0</v>
      </c>
      <c r="AN99" s="53">
        <f>($A99=Esc_6c!E$9)*W99/(12*_xlfn.XLOOKUP(AN$15,sexo_cnu,cnu_noc))</f>
        <v>0</v>
      </c>
      <c r="AO99" s="53">
        <f>($A99=Esc_6c!D$9)*X99/(12*_xlfn.XLOOKUP(AO$15,sexo_cnu,cnu_noc))</f>
        <v>0</v>
      </c>
      <c r="AP99" s="53">
        <f>($A99=Esc_6c!E$9)*Y99/(12*_xlfn.XLOOKUP(AP$15,sexo_cnu,cnu_noc))</f>
        <v>0</v>
      </c>
      <c r="AQ99" s="53">
        <f>($A99=Esc_6c!E$9)*AD99/(12*_xlfn.XLOOKUP(AQ$15,sexo_cnu,cnu_noc))</f>
        <v>0</v>
      </c>
      <c r="AR99" s="53">
        <f>($A99=Esc_6c!E$9)*AE99/(12*_xlfn.XLOOKUP(AR$15,sexo_cnu,cnu_noc))</f>
        <v>0</v>
      </c>
      <c r="AS99" s="53">
        <f>($A99=Esc_6c!D$9)*AF99/(12*_xlfn.XLOOKUP(AS$15,sexo_cnu,cnu_noc))</f>
        <v>0</v>
      </c>
      <c r="AT99" s="53">
        <f>($A99=Esc_6c!E$9)*AG99/(12*_xlfn.XLOOKUP(AT$15,sexo_cnu,cnu_noc))</f>
        <v>0</v>
      </c>
      <c r="AU99" s="39"/>
      <c r="AV99" s="39"/>
    </row>
    <row r="100" spans="1:48" x14ac:dyDescent="0.25">
      <c r="A100" s="30">
        <v>2065</v>
      </c>
      <c r="B100" s="33">
        <f>w_uf*UF*Parámetros!C87</f>
        <v>1431181.647831314</v>
      </c>
      <c r="C100" s="30">
        <f t="shared" si="33"/>
        <v>86</v>
      </c>
      <c r="D100" s="30">
        <f>((A100=Inputs!$C$12)*(Inputs!$D$12) + (A100=Inputs!$C$13)*(Inputs!$D$13) + (A100=Inputs!$C$14)*(Inputs!$D$14)) *(A100 &gt;= a_afil)*(A100&gt;=2024)</f>
        <v>0</v>
      </c>
      <c r="E100" s="30">
        <f>MIN(1,(A100=Inputs!$C$19)*Inputs!$D$19+(A100=Inputs!$C$20)*Inputs!$D$20+(A100=Inputs!$C$21)*Inputs!$D$21*(A100 &gt;= a_afil))</f>
        <v>0</v>
      </c>
      <c r="F100" s="30">
        <f t="shared" si="34"/>
        <v>0</v>
      </c>
      <c r="G100" s="30">
        <f t="shared" si="35"/>
        <v>0</v>
      </c>
      <c r="H100" s="30">
        <v>0.6430467963218689</v>
      </c>
      <c r="I100" s="37">
        <f t="shared" si="40"/>
        <v>0</v>
      </c>
      <c r="J100" s="37">
        <f t="shared" si="41"/>
        <v>0</v>
      </c>
      <c r="K100" s="30">
        <f>1*OR(Inputs!$D$17=$A100,Inputs!$E$17=$A100)*($E100=0)*(F100=1)</f>
        <v>0</v>
      </c>
      <c r="L100" s="30">
        <f>1*OR(Inputs!$D$17=$A100,Inputs!$E$17=$A100)*($E100=0)*(G100=1)</f>
        <v>0</v>
      </c>
      <c r="M100" s="73">
        <f t="shared" si="48"/>
        <v>0</v>
      </c>
      <c r="N100" s="73">
        <f t="shared" si="49"/>
        <v>0</v>
      </c>
      <c r="O100" s="55">
        <f>MIN(Parámetros!$E87, _xlfn.XLOOKUP($A100,agnos,tope_ref_col)*UF)*12*I100*$P$14</f>
        <v>0</v>
      </c>
      <c r="P100" s="55">
        <f>MIN(Parámetros!$E87, _xlfn.XLOOKUP($A100,agnos,tope_ref_col)*UF)*12*J100*$P$14</f>
        <v>0</v>
      </c>
      <c r="Q100" s="70">
        <f t="shared" si="36"/>
        <v>0</v>
      </c>
      <c r="R100" s="70">
        <f t="shared" si="37"/>
        <v>0</v>
      </c>
      <c r="S100" s="68">
        <f t="shared" si="44"/>
        <v>0</v>
      </c>
      <c r="T100" s="68">
        <f t="shared" si="45"/>
        <v>0</v>
      </c>
      <c r="U100" s="38"/>
      <c r="V100" s="55">
        <f>IF($A100&gt;Esc_6c!D$9,0,M100*alpha  +V99*(1+i_noc))</f>
        <v>0</v>
      </c>
      <c r="W100" s="55">
        <f>IF($A100&gt;Esc_6c!E$9,0,N100*alpha  +W99*(1+i_noc))</f>
        <v>0</v>
      </c>
      <c r="X100" s="55">
        <f>IF($A100&gt;Esc_6c!D$9,0,O100*(1-alpha)+X99*(1+i_noc))</f>
        <v>0</v>
      </c>
      <c r="Y100" s="55">
        <f>IF($A100&gt;Esc_6c!E$9,0,P100*(1-alpha)+Y99*(1+i_noc))</f>
        <v>0</v>
      </c>
      <c r="Z100" s="54">
        <f t="shared" si="38"/>
        <v>0</v>
      </c>
      <c r="AA100" s="54">
        <f t="shared" si="39"/>
        <v>0</v>
      </c>
      <c r="AB100" s="55">
        <f t="shared" si="46"/>
        <v>0</v>
      </c>
      <c r="AC100" s="55">
        <f t="shared" si="47"/>
        <v>0</v>
      </c>
      <c r="AD100" s="53">
        <f>D100*mmater*Parámetros!$G87*$W$14+AD99*(1+i_noc)</f>
        <v>0</v>
      </c>
      <c r="AE100" s="53">
        <f>E100*12*Parámetros!$F87*$W$14+AE99*(1+i_noc)</f>
        <v>2599356.0461330805</v>
      </c>
      <c r="AF100" s="53">
        <f t="shared" si="42"/>
        <v>276440.88122960425</v>
      </c>
      <c r="AG100" s="53">
        <f t="shared" si="43"/>
        <v>276440.88122960425</v>
      </c>
      <c r="AI100" s="74">
        <f>($A100=Esc_6c!D$9)*Z100/(12*_xlfn.XLOOKUP(AI$15,sexo_cnu,cnu))</f>
        <v>0</v>
      </c>
      <c r="AJ100" s="74">
        <f>($A100=Esc_6c!E$9)*AA100/(12*_xlfn.XLOOKUP(AJ$15,sexo_cnu,cnu))</f>
        <v>0</v>
      </c>
      <c r="AK100" s="74">
        <f>($A100=Esc_6c!D$9)*AB100/(12*_xlfn.XLOOKUP(AK$15,sexo_cnu,cnu))</f>
        <v>0</v>
      </c>
      <c r="AL100" s="74">
        <f>($A100=Esc_6c!E$9)*AC100/(12*_xlfn.XLOOKUP(AL$15,sexo_cnu,cnu))</f>
        <v>0</v>
      </c>
      <c r="AM100" s="53">
        <f>($A100=Esc_6c!D$9)*V100/(12*_xlfn.XLOOKUP(AM$15,sexo_cnu,cnu_noc))</f>
        <v>0</v>
      </c>
      <c r="AN100" s="53">
        <f>($A100=Esc_6c!E$9)*W100/(12*_xlfn.XLOOKUP(AN$15,sexo_cnu,cnu_noc))</f>
        <v>0</v>
      </c>
      <c r="AO100" s="53">
        <f>($A100=Esc_6c!D$9)*X100/(12*_xlfn.XLOOKUP(AO$15,sexo_cnu,cnu_noc))</f>
        <v>0</v>
      </c>
      <c r="AP100" s="53">
        <f>($A100=Esc_6c!E$9)*Y100/(12*_xlfn.XLOOKUP(AP$15,sexo_cnu,cnu_noc))</f>
        <v>0</v>
      </c>
      <c r="AQ100" s="53">
        <f>($A100=Esc_6c!E$9)*AD100/(12*_xlfn.XLOOKUP(AQ$15,sexo_cnu,cnu_noc))</f>
        <v>0</v>
      </c>
      <c r="AR100" s="53">
        <f>($A100=Esc_6c!E$9)*AE100/(12*_xlfn.XLOOKUP(AR$15,sexo_cnu,cnu_noc))</f>
        <v>0</v>
      </c>
      <c r="AS100" s="53">
        <f>($A100=Esc_6c!D$9)*AF100/(12*_xlfn.XLOOKUP(AS$15,sexo_cnu,cnu_noc))</f>
        <v>0</v>
      </c>
      <c r="AT100" s="53">
        <f>($A100=Esc_6c!E$9)*AG100/(12*_xlfn.XLOOKUP(AT$15,sexo_cnu,cnu_noc))</f>
        <v>0</v>
      </c>
      <c r="AU100" s="39"/>
      <c r="AV100" s="39"/>
    </row>
    <row r="101" spans="1:48" x14ac:dyDescent="0.25">
      <c r="A101" s="30">
        <v>2066</v>
      </c>
      <c r="B101" s="33">
        <f>w_uf*UF*Parámetros!C88</f>
        <v>1449071.4184292057</v>
      </c>
      <c r="C101" s="30">
        <f t="shared" si="33"/>
        <v>87</v>
      </c>
      <c r="D101" s="30">
        <f>((A101=Inputs!$C$12)*(Inputs!$D$12) + (A101=Inputs!$C$13)*(Inputs!$D$13) + (A101=Inputs!$C$14)*(Inputs!$D$14)) *(A101 &gt;= a_afil)*(A101&gt;=2024)</f>
        <v>0</v>
      </c>
      <c r="E101" s="30">
        <f>MIN(1,(A101=Inputs!$C$19)*Inputs!$D$19+(A101=Inputs!$C$20)*Inputs!$D$20+(A101=Inputs!$C$21)*Inputs!$D$21*(A101 &gt;= a_afil))</f>
        <v>0</v>
      </c>
      <c r="F101" s="30">
        <f t="shared" si="34"/>
        <v>0</v>
      </c>
      <c r="G101" s="30">
        <f t="shared" si="35"/>
        <v>0</v>
      </c>
      <c r="H101" s="30">
        <v>0.84909999370574951</v>
      </c>
      <c r="I101" s="37">
        <f t="shared" si="40"/>
        <v>0</v>
      </c>
      <c r="J101" s="37">
        <f t="shared" si="41"/>
        <v>0</v>
      </c>
      <c r="K101" s="30">
        <f>1*OR(Inputs!$D$17=$A101,Inputs!$E$17=$A101)*($E101=0)*(F101=1)</f>
        <v>0</v>
      </c>
      <c r="L101" s="30">
        <f>1*OR(Inputs!$D$17=$A101,Inputs!$E$17=$A101)*($E101=0)*(G101=1)</f>
        <v>0</v>
      </c>
      <c r="M101" s="73">
        <f t="shared" si="48"/>
        <v>0</v>
      </c>
      <c r="N101" s="73">
        <f t="shared" si="49"/>
        <v>0</v>
      </c>
      <c r="O101" s="55">
        <f>MIN(Parámetros!$E88, _xlfn.XLOOKUP($A101,agnos,tope_ref_col)*UF)*12*I101*$P$14</f>
        <v>0</v>
      </c>
      <c r="P101" s="55">
        <f>MIN(Parámetros!$E88, _xlfn.XLOOKUP($A101,agnos,tope_ref_col)*UF)*12*J101*$P$14</f>
        <v>0</v>
      </c>
      <c r="Q101" s="70">
        <f t="shared" si="36"/>
        <v>0</v>
      </c>
      <c r="R101" s="70">
        <f t="shared" si="37"/>
        <v>0</v>
      </c>
      <c r="S101" s="68">
        <f t="shared" si="44"/>
        <v>0</v>
      </c>
      <c r="T101" s="68">
        <f t="shared" si="45"/>
        <v>0</v>
      </c>
      <c r="U101" s="38"/>
      <c r="V101" s="55">
        <f>IF($A101&gt;Esc_6c!D$9,0,M101*alpha  +V100*(1+i_noc))</f>
        <v>0</v>
      </c>
      <c r="W101" s="55">
        <f>IF($A101&gt;Esc_6c!E$9,0,N101*alpha  +W100*(1+i_noc))</f>
        <v>0</v>
      </c>
      <c r="X101" s="55">
        <f>IF($A101&gt;Esc_6c!D$9,0,O101*(1-alpha)+X100*(1+i_noc))</f>
        <v>0</v>
      </c>
      <c r="Y101" s="55">
        <f>IF($A101&gt;Esc_6c!E$9,0,P101*(1-alpha)+Y100*(1+i_noc))</f>
        <v>0</v>
      </c>
      <c r="Z101" s="54">
        <f t="shared" si="38"/>
        <v>0</v>
      </c>
      <c r="AA101" s="54">
        <f t="shared" si="39"/>
        <v>0</v>
      </c>
      <c r="AB101" s="55">
        <f t="shared" si="46"/>
        <v>0</v>
      </c>
      <c r="AC101" s="55">
        <f t="shared" si="47"/>
        <v>0</v>
      </c>
      <c r="AD101" s="53">
        <f>D101*mmater*Parámetros!$G88*$W$14+AD100*(1+i_noc)</f>
        <v>0</v>
      </c>
      <c r="AE101" s="53">
        <f>E101*12*Parámetros!$F88*$W$14+AE100*(1+i_noc)</f>
        <v>2651343.1670557423</v>
      </c>
      <c r="AF101" s="53">
        <f t="shared" si="42"/>
        <v>281969.69885419635</v>
      </c>
      <c r="AG101" s="53">
        <f t="shared" si="43"/>
        <v>281969.69885419635</v>
      </c>
      <c r="AI101" s="74">
        <f>($A101=Esc_6c!D$9)*Z101/(12*_xlfn.XLOOKUP(AI$15,sexo_cnu,cnu))</f>
        <v>0</v>
      </c>
      <c r="AJ101" s="74">
        <f>($A101=Esc_6c!E$9)*AA101/(12*_xlfn.XLOOKUP(AJ$15,sexo_cnu,cnu))</f>
        <v>0</v>
      </c>
      <c r="AK101" s="74">
        <f>($A101=Esc_6c!D$9)*AB101/(12*_xlfn.XLOOKUP(AK$15,sexo_cnu,cnu))</f>
        <v>0</v>
      </c>
      <c r="AL101" s="74">
        <f>($A101=Esc_6c!E$9)*AC101/(12*_xlfn.XLOOKUP(AL$15,sexo_cnu,cnu))</f>
        <v>0</v>
      </c>
      <c r="AM101" s="53">
        <f>($A101=Esc_6c!D$9)*V101/(12*_xlfn.XLOOKUP(AM$15,sexo_cnu,cnu_noc))</f>
        <v>0</v>
      </c>
      <c r="AN101" s="53">
        <f>($A101=Esc_6c!E$9)*W101/(12*_xlfn.XLOOKUP(AN$15,sexo_cnu,cnu_noc))</f>
        <v>0</v>
      </c>
      <c r="AO101" s="53">
        <f>($A101=Esc_6c!D$9)*X101/(12*_xlfn.XLOOKUP(AO$15,sexo_cnu,cnu_noc))</f>
        <v>0</v>
      </c>
      <c r="AP101" s="53">
        <f>($A101=Esc_6c!E$9)*Y101/(12*_xlfn.XLOOKUP(AP$15,sexo_cnu,cnu_noc))</f>
        <v>0</v>
      </c>
      <c r="AQ101" s="53">
        <f>($A101=Esc_6c!E$9)*AD101/(12*_xlfn.XLOOKUP(AQ$15,sexo_cnu,cnu_noc))</f>
        <v>0</v>
      </c>
      <c r="AR101" s="53">
        <f>($A101=Esc_6c!E$9)*AE101/(12*_xlfn.XLOOKUP(AR$15,sexo_cnu,cnu_noc))</f>
        <v>0</v>
      </c>
      <c r="AS101" s="53">
        <f>($A101=Esc_6c!D$9)*AF101/(12*_xlfn.XLOOKUP(AS$15,sexo_cnu,cnu_noc))</f>
        <v>0</v>
      </c>
      <c r="AT101" s="53">
        <f>($A101=Esc_6c!E$9)*AG101/(12*_xlfn.XLOOKUP(AT$15,sexo_cnu,cnu_noc))</f>
        <v>0</v>
      </c>
      <c r="AU101" s="39"/>
      <c r="AV101" s="39"/>
    </row>
    <row r="102" spans="1:48" x14ac:dyDescent="0.25">
      <c r="A102" s="30">
        <v>2067</v>
      </c>
      <c r="B102" s="33">
        <f>w_uf*UF*Parámetros!C89</f>
        <v>1467184.8111595705</v>
      </c>
      <c r="C102" s="30">
        <f t="shared" si="33"/>
        <v>88</v>
      </c>
      <c r="D102" s="30">
        <f>((A102=Inputs!$C$12)*(Inputs!$D$12) + (A102=Inputs!$C$13)*(Inputs!$D$13) + (A102=Inputs!$C$14)*(Inputs!$D$14)) *(A102 &gt;= a_afil)*(A102&gt;=2024)</f>
        <v>0</v>
      </c>
      <c r="E102" s="30">
        <f>MIN(1,(A102=Inputs!$C$19)*Inputs!$D$19+(A102=Inputs!$C$20)*Inputs!$D$20+(A102=Inputs!$C$21)*Inputs!$D$21*(A102 &gt;= a_afil))</f>
        <v>0</v>
      </c>
      <c r="F102" s="30">
        <f t="shared" si="34"/>
        <v>0</v>
      </c>
      <c r="G102" s="30">
        <f t="shared" si="35"/>
        <v>0</v>
      </c>
      <c r="H102" s="30">
        <v>0.49796921014785767</v>
      </c>
      <c r="I102" s="37">
        <f t="shared" si="40"/>
        <v>0</v>
      </c>
      <c r="J102" s="37">
        <f t="shared" si="41"/>
        <v>0</v>
      </c>
      <c r="K102" s="30">
        <f>1*OR(Inputs!$D$17=$A102,Inputs!$E$17=$A102)*($E102=0)*(F102=1)</f>
        <v>0</v>
      </c>
      <c r="L102" s="30">
        <f>1*OR(Inputs!$D$17=$A102,Inputs!$E$17=$A102)*($E102=0)*(G102=1)</f>
        <v>0</v>
      </c>
      <c r="M102" s="73">
        <f t="shared" si="48"/>
        <v>0</v>
      </c>
      <c r="N102" s="73">
        <f t="shared" si="49"/>
        <v>0</v>
      </c>
      <c r="O102" s="55">
        <f>MIN(Parámetros!$E89, _xlfn.XLOOKUP($A102,agnos,tope_ref_col)*UF)*12*I102*$P$14</f>
        <v>0</v>
      </c>
      <c r="P102" s="55">
        <f>MIN(Parámetros!$E89, _xlfn.XLOOKUP($A102,agnos,tope_ref_col)*UF)*12*J102*$P$14</f>
        <v>0</v>
      </c>
      <c r="Q102" s="70">
        <f t="shared" si="36"/>
        <v>0</v>
      </c>
      <c r="R102" s="70">
        <f t="shared" si="37"/>
        <v>0</v>
      </c>
      <c r="S102" s="68">
        <f t="shared" si="44"/>
        <v>0</v>
      </c>
      <c r="T102" s="68">
        <f t="shared" si="45"/>
        <v>0</v>
      </c>
      <c r="U102" s="38"/>
      <c r="V102" s="55">
        <f>IF($A102&gt;Esc_6c!D$9,0,M102*alpha  +V101*(1+i_noc))</f>
        <v>0</v>
      </c>
      <c r="W102" s="55">
        <f>IF($A102&gt;Esc_6c!E$9,0,N102*alpha  +W101*(1+i_noc))</f>
        <v>0</v>
      </c>
      <c r="X102" s="55">
        <f>IF($A102&gt;Esc_6c!D$9,0,O102*(1-alpha)+X101*(1+i_noc))</f>
        <v>0</v>
      </c>
      <c r="Y102" s="55">
        <f>IF($A102&gt;Esc_6c!E$9,0,P102*(1-alpha)+Y101*(1+i_noc))</f>
        <v>0</v>
      </c>
      <c r="Z102" s="54">
        <f t="shared" si="38"/>
        <v>0</v>
      </c>
      <c r="AA102" s="54">
        <f t="shared" si="39"/>
        <v>0</v>
      </c>
      <c r="AB102" s="55">
        <f t="shared" si="46"/>
        <v>0</v>
      </c>
      <c r="AC102" s="55">
        <f t="shared" si="47"/>
        <v>0</v>
      </c>
      <c r="AD102" s="53">
        <f>D102*mmater*Parámetros!$G89*$W$14+AD101*(1+i_noc)</f>
        <v>0</v>
      </c>
      <c r="AE102" s="53">
        <f>E102*12*Parámetros!$F89*$W$14+AE101*(1+i_noc)</f>
        <v>2704370.0303968573</v>
      </c>
      <c r="AF102" s="53">
        <f t="shared" si="42"/>
        <v>287609.09283128026</v>
      </c>
      <c r="AG102" s="53">
        <f t="shared" si="43"/>
        <v>287609.09283128026</v>
      </c>
      <c r="AI102" s="74">
        <f>($A102=Esc_6c!D$9)*Z102/(12*_xlfn.XLOOKUP(AI$15,sexo_cnu,cnu))</f>
        <v>0</v>
      </c>
      <c r="AJ102" s="74">
        <f>($A102=Esc_6c!E$9)*AA102/(12*_xlfn.XLOOKUP(AJ$15,sexo_cnu,cnu))</f>
        <v>0</v>
      </c>
      <c r="AK102" s="74">
        <f>($A102=Esc_6c!D$9)*AB102/(12*_xlfn.XLOOKUP(AK$15,sexo_cnu,cnu))</f>
        <v>0</v>
      </c>
      <c r="AL102" s="74">
        <f>($A102=Esc_6c!E$9)*AC102/(12*_xlfn.XLOOKUP(AL$15,sexo_cnu,cnu))</f>
        <v>0</v>
      </c>
      <c r="AM102" s="53">
        <f>($A102=Esc_6c!D$9)*V102/(12*_xlfn.XLOOKUP(AM$15,sexo_cnu,cnu_noc))</f>
        <v>0</v>
      </c>
      <c r="AN102" s="53">
        <f>($A102=Esc_6c!E$9)*W102/(12*_xlfn.XLOOKUP(AN$15,sexo_cnu,cnu_noc))</f>
        <v>0</v>
      </c>
      <c r="AO102" s="53">
        <f>($A102=Esc_6c!D$9)*X102/(12*_xlfn.XLOOKUP(AO$15,sexo_cnu,cnu_noc))</f>
        <v>0</v>
      </c>
      <c r="AP102" s="53">
        <f>($A102=Esc_6c!E$9)*Y102/(12*_xlfn.XLOOKUP(AP$15,sexo_cnu,cnu_noc))</f>
        <v>0</v>
      </c>
      <c r="AQ102" s="53">
        <f>($A102=Esc_6c!E$9)*AD102/(12*_xlfn.XLOOKUP(AQ$15,sexo_cnu,cnu_noc))</f>
        <v>0</v>
      </c>
      <c r="AR102" s="53">
        <f>($A102=Esc_6c!E$9)*AE102/(12*_xlfn.XLOOKUP(AR$15,sexo_cnu,cnu_noc))</f>
        <v>0</v>
      </c>
      <c r="AS102" s="53">
        <f>($A102=Esc_6c!D$9)*AF102/(12*_xlfn.XLOOKUP(AS$15,sexo_cnu,cnu_noc))</f>
        <v>0</v>
      </c>
      <c r="AT102" s="53">
        <f>($A102=Esc_6c!E$9)*AG102/(12*_xlfn.XLOOKUP(AT$15,sexo_cnu,cnu_noc))</f>
        <v>0</v>
      </c>
      <c r="AU102" s="39"/>
      <c r="AV102" s="39"/>
    </row>
    <row r="103" spans="1:48" x14ac:dyDescent="0.25">
      <c r="A103" s="30">
        <v>2068</v>
      </c>
      <c r="B103" s="33">
        <f>w_uf*UF*Parámetros!C90</f>
        <v>1485524.621299065</v>
      </c>
      <c r="C103" s="30">
        <f t="shared" si="33"/>
        <v>89</v>
      </c>
      <c r="D103" s="30">
        <f>((A103=Inputs!$C$12)*(Inputs!$D$12) + (A103=Inputs!$C$13)*(Inputs!$D$13) + (A103=Inputs!$C$14)*(Inputs!$D$14)) *(A103 &gt;= a_afil)*(A103&gt;=2024)</f>
        <v>0</v>
      </c>
      <c r="E103" s="30">
        <f>MIN(1,(A103=Inputs!$C$19)*Inputs!$D$19+(A103=Inputs!$C$20)*Inputs!$D$20+(A103=Inputs!$C$21)*Inputs!$D$21*(A103 &gt;= a_afil))</f>
        <v>0</v>
      </c>
      <c r="F103" s="30">
        <f t="shared" si="34"/>
        <v>0</v>
      </c>
      <c r="G103" s="30">
        <f t="shared" si="35"/>
        <v>0</v>
      </c>
      <c r="H103" s="30">
        <v>0.1877751350402832</v>
      </c>
      <c r="I103" s="37">
        <f t="shared" si="40"/>
        <v>0</v>
      </c>
      <c r="J103" s="37">
        <f t="shared" si="41"/>
        <v>0</v>
      </c>
      <c r="K103" s="30">
        <f>1*OR(Inputs!$D$17=$A103,Inputs!$E$17=$A103)*($E103=0)*(F103=1)</f>
        <v>0</v>
      </c>
      <c r="L103" s="30">
        <f>1*OR(Inputs!$D$17=$A103,Inputs!$E$17=$A103)*($E103=0)*(G103=1)</f>
        <v>0</v>
      </c>
      <c r="M103" s="73">
        <f t="shared" si="48"/>
        <v>0</v>
      </c>
      <c r="N103" s="73">
        <f t="shared" si="49"/>
        <v>0</v>
      </c>
      <c r="O103" s="55">
        <f>MIN(Parámetros!$E90, _xlfn.XLOOKUP($A103,agnos,tope_ref_col)*UF)*12*I103*$P$14</f>
        <v>0</v>
      </c>
      <c r="P103" s="55">
        <f>MIN(Parámetros!$E90, _xlfn.XLOOKUP($A103,agnos,tope_ref_col)*UF)*12*J103*$P$14</f>
        <v>0</v>
      </c>
      <c r="Q103" s="70">
        <f t="shared" si="36"/>
        <v>0</v>
      </c>
      <c r="R103" s="70">
        <f t="shared" si="37"/>
        <v>0</v>
      </c>
      <c r="S103" s="68">
        <f t="shared" si="44"/>
        <v>0</v>
      </c>
      <c r="T103" s="68">
        <f t="shared" si="45"/>
        <v>0</v>
      </c>
      <c r="U103" s="38"/>
      <c r="V103" s="55">
        <f>IF($A103&gt;Esc_6c!D$9,0,M103*alpha  +V102*(1+i_noc))</f>
        <v>0</v>
      </c>
      <c r="W103" s="55">
        <f>IF($A103&gt;Esc_6c!E$9,0,N103*alpha  +W102*(1+i_noc))</f>
        <v>0</v>
      </c>
      <c r="X103" s="55">
        <f>IF($A103&gt;Esc_6c!D$9,0,O103*(1-alpha)+X102*(1+i_noc))</f>
        <v>0</v>
      </c>
      <c r="Y103" s="55">
        <f>IF($A103&gt;Esc_6c!E$9,0,P103*(1-alpha)+Y102*(1+i_noc))</f>
        <v>0</v>
      </c>
      <c r="Z103" s="54">
        <f t="shared" si="38"/>
        <v>0</v>
      </c>
      <c r="AA103" s="54">
        <f t="shared" si="39"/>
        <v>0</v>
      </c>
      <c r="AB103" s="55">
        <f t="shared" si="46"/>
        <v>0</v>
      </c>
      <c r="AC103" s="55">
        <f t="shared" si="47"/>
        <v>0</v>
      </c>
      <c r="AD103" s="53">
        <f>D103*mmater*Parámetros!$G90*$W$14+AD102*(1+i_noc)</f>
        <v>0</v>
      </c>
      <c r="AE103" s="53">
        <f>E103*12*Parámetros!$F90*$W$14+AE102*(1+i_noc)</f>
        <v>2758457.4310047943</v>
      </c>
      <c r="AF103" s="53">
        <f t="shared" si="42"/>
        <v>293361.27468790585</v>
      </c>
      <c r="AG103" s="53">
        <f t="shared" si="43"/>
        <v>293361.27468790585</v>
      </c>
      <c r="AI103" s="74">
        <f>($A103=Esc_6c!D$9)*Z103/(12*_xlfn.XLOOKUP(AI$15,sexo_cnu,cnu))</f>
        <v>0</v>
      </c>
      <c r="AJ103" s="74">
        <f>($A103=Esc_6c!E$9)*AA103/(12*_xlfn.XLOOKUP(AJ$15,sexo_cnu,cnu))</f>
        <v>0</v>
      </c>
      <c r="AK103" s="74">
        <f>($A103=Esc_6c!D$9)*AB103/(12*_xlfn.XLOOKUP(AK$15,sexo_cnu,cnu))</f>
        <v>0</v>
      </c>
      <c r="AL103" s="74">
        <f>($A103=Esc_6c!E$9)*AC103/(12*_xlfn.XLOOKUP(AL$15,sexo_cnu,cnu))</f>
        <v>0</v>
      </c>
      <c r="AM103" s="53">
        <f>($A103=Esc_6c!D$9)*V103/(12*_xlfn.XLOOKUP(AM$15,sexo_cnu,cnu_noc))</f>
        <v>0</v>
      </c>
      <c r="AN103" s="53">
        <f>($A103=Esc_6c!E$9)*W103/(12*_xlfn.XLOOKUP(AN$15,sexo_cnu,cnu_noc))</f>
        <v>0</v>
      </c>
      <c r="AO103" s="53">
        <f>($A103=Esc_6c!D$9)*X103/(12*_xlfn.XLOOKUP(AO$15,sexo_cnu,cnu_noc))</f>
        <v>0</v>
      </c>
      <c r="AP103" s="53">
        <f>($A103=Esc_6c!E$9)*Y103/(12*_xlfn.XLOOKUP(AP$15,sexo_cnu,cnu_noc))</f>
        <v>0</v>
      </c>
      <c r="AQ103" s="53">
        <f>($A103=Esc_6c!E$9)*AD103/(12*_xlfn.XLOOKUP(AQ$15,sexo_cnu,cnu_noc))</f>
        <v>0</v>
      </c>
      <c r="AR103" s="53">
        <f>($A103=Esc_6c!E$9)*AE103/(12*_xlfn.XLOOKUP(AR$15,sexo_cnu,cnu_noc))</f>
        <v>0</v>
      </c>
      <c r="AS103" s="53">
        <f>($A103=Esc_6c!D$9)*AF103/(12*_xlfn.XLOOKUP(AS$15,sexo_cnu,cnu_noc))</f>
        <v>0</v>
      </c>
      <c r="AT103" s="53">
        <f>($A103=Esc_6c!E$9)*AG103/(12*_xlfn.XLOOKUP(AT$15,sexo_cnu,cnu_noc))</f>
        <v>0</v>
      </c>
      <c r="AU103" s="39"/>
      <c r="AV103" s="39"/>
    </row>
    <row r="104" spans="1:48" x14ac:dyDescent="0.25">
      <c r="A104" s="30">
        <v>2069</v>
      </c>
      <c r="B104" s="33">
        <f>w_uf*UF*Parámetros!C91</f>
        <v>1504093.6790653034</v>
      </c>
      <c r="C104" s="30">
        <f t="shared" si="33"/>
        <v>90</v>
      </c>
      <c r="D104" s="30">
        <f>((A104=Inputs!$C$12)*(Inputs!$D$12) + (A104=Inputs!$C$13)*(Inputs!$D$13) + (A104=Inputs!$C$14)*(Inputs!$D$14)) *(A104 &gt;= a_afil)*(A104&gt;=2024)</f>
        <v>0</v>
      </c>
      <c r="E104" s="30">
        <f>MIN(1,(A104=Inputs!$C$19)*Inputs!$D$19+(A104=Inputs!$C$20)*Inputs!$D$20+(A104=Inputs!$C$21)*Inputs!$D$21*(A104 &gt;= a_afil))</f>
        <v>0</v>
      </c>
      <c r="F104" s="30">
        <f t="shared" si="34"/>
        <v>0</v>
      </c>
      <c r="G104" s="30">
        <f t="shared" si="35"/>
        <v>0</v>
      </c>
      <c r="H104" s="30">
        <v>0.89661663770675659</v>
      </c>
      <c r="I104" s="37">
        <f t="shared" si="40"/>
        <v>0</v>
      </c>
      <c r="J104" s="37">
        <f t="shared" si="41"/>
        <v>0</v>
      </c>
      <c r="K104" s="30">
        <f>1*OR(Inputs!$D$17=$A104,Inputs!$E$17=$A104)*($E104=0)*(F104=1)</f>
        <v>0</v>
      </c>
      <c r="L104" s="30">
        <f>1*OR(Inputs!$D$17=$A104,Inputs!$E$17=$A104)*($E104=0)*(G104=1)</f>
        <v>0</v>
      </c>
      <c r="M104" s="73">
        <f t="shared" si="48"/>
        <v>0</v>
      </c>
      <c r="N104" s="73">
        <f t="shared" si="49"/>
        <v>0</v>
      </c>
      <c r="O104" s="55">
        <f>MIN(Parámetros!$E91, _xlfn.XLOOKUP($A104,agnos,tope_ref_col)*UF)*12*I104*$P$14</f>
        <v>0</v>
      </c>
      <c r="P104" s="55">
        <f>MIN(Parámetros!$E91, _xlfn.XLOOKUP($A104,agnos,tope_ref_col)*UF)*12*J104*$P$14</f>
        <v>0</v>
      </c>
      <c r="Q104" s="70">
        <f t="shared" si="36"/>
        <v>0</v>
      </c>
      <c r="R104" s="70">
        <f t="shared" si="37"/>
        <v>0</v>
      </c>
      <c r="S104" s="68">
        <f t="shared" si="44"/>
        <v>0</v>
      </c>
      <c r="T104" s="68">
        <f t="shared" si="45"/>
        <v>0</v>
      </c>
      <c r="U104" s="38"/>
      <c r="V104" s="55">
        <f>IF($A104&gt;Esc_6c!D$9,0,M104*alpha  +V103*(1+i_noc))</f>
        <v>0</v>
      </c>
      <c r="W104" s="55">
        <f>IF($A104&gt;Esc_6c!E$9,0,N104*alpha  +W103*(1+i_noc))</f>
        <v>0</v>
      </c>
      <c r="X104" s="55">
        <f>IF($A104&gt;Esc_6c!D$9,0,O104*(1-alpha)+X103*(1+i_noc))</f>
        <v>0</v>
      </c>
      <c r="Y104" s="55">
        <f>IF($A104&gt;Esc_6c!E$9,0,P104*(1-alpha)+Y103*(1+i_noc))</f>
        <v>0</v>
      </c>
      <c r="Z104" s="54">
        <f t="shared" si="38"/>
        <v>0</v>
      </c>
      <c r="AA104" s="54">
        <f t="shared" si="39"/>
        <v>0</v>
      </c>
      <c r="AB104" s="55">
        <f t="shared" si="46"/>
        <v>0</v>
      </c>
      <c r="AC104" s="55">
        <f t="shared" si="47"/>
        <v>0</v>
      </c>
      <c r="AD104" s="53">
        <f>D104*mmater*Parámetros!$G91*$W$14+AD103*(1+i_noc)</f>
        <v>0</v>
      </c>
      <c r="AE104" s="53">
        <f>E104*12*Parámetros!$F91*$W$14+AE103*(1+i_noc)</f>
        <v>2813626.5796248903</v>
      </c>
      <c r="AF104" s="53">
        <f t="shared" si="42"/>
        <v>299228.50018166396</v>
      </c>
      <c r="AG104" s="53">
        <f t="shared" si="43"/>
        <v>299228.50018166396</v>
      </c>
      <c r="AI104" s="74">
        <f>($A104=Esc_6c!D$9)*Z104/(12*_xlfn.XLOOKUP(AI$15,sexo_cnu,cnu))</f>
        <v>0</v>
      </c>
      <c r="AJ104" s="74">
        <f>($A104=Esc_6c!E$9)*AA104/(12*_xlfn.XLOOKUP(AJ$15,sexo_cnu,cnu))</f>
        <v>0</v>
      </c>
      <c r="AK104" s="74">
        <f>($A104=Esc_6c!D$9)*AB104/(12*_xlfn.XLOOKUP(AK$15,sexo_cnu,cnu))</f>
        <v>0</v>
      </c>
      <c r="AL104" s="74">
        <f>($A104=Esc_6c!E$9)*AC104/(12*_xlfn.XLOOKUP(AL$15,sexo_cnu,cnu))</f>
        <v>0</v>
      </c>
      <c r="AM104" s="53">
        <f>($A104=Esc_6c!D$9)*V104/(12*_xlfn.XLOOKUP(AM$15,sexo_cnu,cnu_noc))</f>
        <v>0</v>
      </c>
      <c r="AN104" s="53">
        <f>($A104=Esc_6c!E$9)*W104/(12*_xlfn.XLOOKUP(AN$15,sexo_cnu,cnu_noc))</f>
        <v>0</v>
      </c>
      <c r="AO104" s="53">
        <f>($A104=Esc_6c!D$9)*X104/(12*_xlfn.XLOOKUP(AO$15,sexo_cnu,cnu_noc))</f>
        <v>0</v>
      </c>
      <c r="AP104" s="53">
        <f>($A104=Esc_6c!E$9)*Y104/(12*_xlfn.XLOOKUP(AP$15,sexo_cnu,cnu_noc))</f>
        <v>0</v>
      </c>
      <c r="AQ104" s="53">
        <f>($A104=Esc_6c!E$9)*AD104/(12*_xlfn.XLOOKUP(AQ$15,sexo_cnu,cnu_noc))</f>
        <v>0</v>
      </c>
      <c r="AR104" s="53">
        <f>($A104=Esc_6c!E$9)*AE104/(12*_xlfn.XLOOKUP(AR$15,sexo_cnu,cnu_noc))</f>
        <v>0</v>
      </c>
      <c r="AS104" s="53">
        <f>($A104=Esc_6c!D$9)*AF104/(12*_xlfn.XLOOKUP(AS$15,sexo_cnu,cnu_noc))</f>
        <v>0</v>
      </c>
      <c r="AT104" s="53">
        <f>($A104=Esc_6c!E$9)*AG104/(12*_xlfn.XLOOKUP(AT$15,sexo_cnu,cnu_noc))</f>
        <v>0</v>
      </c>
      <c r="AU104" s="39"/>
      <c r="AV104" s="39"/>
    </row>
    <row r="105" spans="1:48" x14ac:dyDescent="0.25">
      <c r="A105" s="30">
        <v>2070</v>
      </c>
      <c r="B105" s="33">
        <f>w_uf*UF*Parámetros!C92</f>
        <v>1522894.8500536196</v>
      </c>
      <c r="C105" s="30">
        <f t="shared" si="33"/>
        <v>91</v>
      </c>
      <c r="D105" s="30">
        <f>((A105=Inputs!$C$12)*(Inputs!$D$12) + (A105=Inputs!$C$13)*(Inputs!$D$13) + (A105=Inputs!$C$14)*(Inputs!$D$14)) *(A105 &gt;= a_afil)*(A105&gt;=2024)</f>
        <v>0</v>
      </c>
      <c r="E105" s="30">
        <f>MIN(1,(A105=Inputs!$C$19)*Inputs!$D$19+(A105=Inputs!$C$20)*Inputs!$D$20+(A105=Inputs!$C$21)*Inputs!$D$21*(A105 &gt;= a_afil))</f>
        <v>0</v>
      </c>
      <c r="F105" s="30">
        <f t="shared" si="34"/>
        <v>0</v>
      </c>
      <c r="G105" s="30">
        <f t="shared" si="35"/>
        <v>0</v>
      </c>
      <c r="H105" s="30">
        <v>0.37281429767608643</v>
      </c>
      <c r="I105" s="37">
        <f t="shared" si="40"/>
        <v>0</v>
      </c>
      <c r="J105" s="37">
        <f t="shared" si="41"/>
        <v>0</v>
      </c>
      <c r="K105" s="30">
        <f>1*OR(Inputs!$D$17=$A105,Inputs!$E$17=$A105)*($E105=0)*(F105=1)</f>
        <v>0</v>
      </c>
      <c r="L105" s="30">
        <f>1*OR(Inputs!$D$17=$A105,Inputs!$E$17=$A105)*($E105=0)*(G105=1)</f>
        <v>0</v>
      </c>
      <c r="M105" s="73">
        <f t="shared" si="48"/>
        <v>0</v>
      </c>
      <c r="N105" s="73">
        <f t="shared" si="49"/>
        <v>0</v>
      </c>
      <c r="O105" s="55">
        <f>MIN(Parámetros!$E92, _xlfn.XLOOKUP($A105,agnos,tope_ref_col)*UF)*12*I105*$P$14</f>
        <v>0</v>
      </c>
      <c r="P105" s="55">
        <f>MIN(Parámetros!$E92, _xlfn.XLOOKUP($A105,agnos,tope_ref_col)*UF)*12*J105*$P$14</f>
        <v>0</v>
      </c>
      <c r="Q105" s="70">
        <f t="shared" si="36"/>
        <v>0</v>
      </c>
      <c r="R105" s="70">
        <f t="shared" si="37"/>
        <v>0</v>
      </c>
      <c r="S105" s="68">
        <f t="shared" si="44"/>
        <v>0</v>
      </c>
      <c r="T105" s="68">
        <f t="shared" si="45"/>
        <v>0</v>
      </c>
      <c r="U105" s="38"/>
      <c r="V105" s="55">
        <f>IF($A105&gt;Esc_6c!D$9,0,M105*alpha  +V104*(1+i_noc))</f>
        <v>0</v>
      </c>
      <c r="W105" s="55">
        <f>IF($A105&gt;Esc_6c!E$9,0,N105*alpha  +W104*(1+i_noc))</f>
        <v>0</v>
      </c>
      <c r="X105" s="55">
        <f>IF($A105&gt;Esc_6c!D$9,0,O105*(1-alpha)+X104*(1+i_noc))</f>
        <v>0</v>
      </c>
      <c r="Y105" s="55">
        <f>IF($A105&gt;Esc_6c!E$9,0,P105*(1-alpha)+Y104*(1+i_noc))</f>
        <v>0</v>
      </c>
      <c r="Z105" s="54">
        <f t="shared" si="38"/>
        <v>0</v>
      </c>
      <c r="AA105" s="54">
        <f t="shared" si="39"/>
        <v>0</v>
      </c>
      <c r="AB105" s="55">
        <f t="shared" si="46"/>
        <v>0</v>
      </c>
      <c r="AC105" s="55">
        <f t="shared" si="47"/>
        <v>0</v>
      </c>
      <c r="AD105" s="53">
        <f>D105*mmater*Parámetros!$G92*$W$14+AD104*(1+i_noc)</f>
        <v>0</v>
      </c>
      <c r="AE105" s="53">
        <f>E105*12*Parámetros!$F92*$W$14+AE104*(1+i_noc)</f>
        <v>2869899.1112173884</v>
      </c>
      <c r="AF105" s="53">
        <f t="shared" si="42"/>
        <v>305213.07018529723</v>
      </c>
      <c r="AG105" s="53">
        <f t="shared" si="43"/>
        <v>305213.07018529723</v>
      </c>
      <c r="AI105" s="74">
        <f>($A105=Esc_6c!D$9)*Z105/(12*_xlfn.XLOOKUP(AI$15,sexo_cnu,cnu))</f>
        <v>0</v>
      </c>
      <c r="AJ105" s="74">
        <f>($A105=Esc_6c!E$9)*AA105/(12*_xlfn.XLOOKUP(AJ$15,sexo_cnu,cnu))</f>
        <v>0</v>
      </c>
      <c r="AK105" s="74">
        <f>($A105=Esc_6c!D$9)*AB105/(12*_xlfn.XLOOKUP(AK$15,sexo_cnu,cnu))</f>
        <v>0</v>
      </c>
      <c r="AL105" s="74">
        <f>($A105=Esc_6c!E$9)*AC105/(12*_xlfn.XLOOKUP(AL$15,sexo_cnu,cnu))</f>
        <v>0</v>
      </c>
      <c r="AM105" s="53">
        <f>($A105=Esc_6c!D$9)*V105/(12*_xlfn.XLOOKUP(AM$15,sexo_cnu,cnu_noc))</f>
        <v>0</v>
      </c>
      <c r="AN105" s="53">
        <f>($A105=Esc_6c!E$9)*W105/(12*_xlfn.XLOOKUP(AN$15,sexo_cnu,cnu_noc))</f>
        <v>0</v>
      </c>
      <c r="AO105" s="53">
        <f>($A105=Esc_6c!D$9)*X105/(12*_xlfn.XLOOKUP(AO$15,sexo_cnu,cnu_noc))</f>
        <v>0</v>
      </c>
      <c r="AP105" s="53">
        <f>($A105=Esc_6c!E$9)*Y105/(12*_xlfn.XLOOKUP(AP$15,sexo_cnu,cnu_noc))</f>
        <v>0</v>
      </c>
      <c r="AQ105" s="53">
        <f>($A105=Esc_6c!E$9)*AD105/(12*_xlfn.XLOOKUP(AQ$15,sexo_cnu,cnu_noc))</f>
        <v>0</v>
      </c>
      <c r="AR105" s="53">
        <f>($A105=Esc_6c!E$9)*AE105/(12*_xlfn.XLOOKUP(AR$15,sexo_cnu,cnu_noc))</f>
        <v>0</v>
      </c>
      <c r="AS105" s="53">
        <f>($A105=Esc_6c!D$9)*AF105/(12*_xlfn.XLOOKUP(AS$15,sexo_cnu,cnu_noc))</f>
        <v>0</v>
      </c>
      <c r="AT105" s="53">
        <f>($A105=Esc_6c!E$9)*AG105/(12*_xlfn.XLOOKUP(AT$15,sexo_cnu,cnu_noc))</f>
        <v>0</v>
      </c>
      <c r="AU105" s="39"/>
      <c r="AV105" s="39"/>
    </row>
    <row r="106" spans="1:48" x14ac:dyDescent="0.25">
      <c r="A106" s="30">
        <v>2071</v>
      </c>
      <c r="B106" s="33">
        <f>w_uf*UF*Parámetros!C93</f>
        <v>1541931.0356792898</v>
      </c>
      <c r="C106" s="30">
        <f t="shared" si="33"/>
        <v>92</v>
      </c>
      <c r="D106" s="30">
        <f>((A106=Inputs!$C$12)*(Inputs!$D$12) + (A106=Inputs!$C$13)*(Inputs!$D$13) + (A106=Inputs!$C$14)*(Inputs!$D$14)) *(A106 &gt;= a_afil)*(A106&gt;=2024)</f>
        <v>0</v>
      </c>
      <c r="E106" s="30">
        <f>MIN(1,(A106=Inputs!$C$19)*Inputs!$D$19+(A106=Inputs!$C$20)*Inputs!$D$20+(A106=Inputs!$C$21)*Inputs!$D$21*(A106 &gt;= a_afil))</f>
        <v>0</v>
      </c>
      <c r="F106" s="30">
        <f t="shared" si="34"/>
        <v>0</v>
      </c>
      <c r="G106" s="30">
        <f t="shared" si="35"/>
        <v>0</v>
      </c>
      <c r="H106" s="30">
        <v>0.32355481386184692</v>
      </c>
      <c r="I106" s="37">
        <f t="shared" si="40"/>
        <v>0</v>
      </c>
      <c r="J106" s="37">
        <f t="shared" si="41"/>
        <v>0</v>
      </c>
      <c r="K106" s="30">
        <f>1*OR(Inputs!$D$17=$A106,Inputs!$E$17=$A106)*($E106=0)*(F106=1)</f>
        <v>0</v>
      </c>
      <c r="L106" s="30">
        <f>1*OR(Inputs!$D$17=$A106,Inputs!$E$17=$A106)*($E106=0)*(G106=1)</f>
        <v>0</v>
      </c>
      <c r="M106" s="73">
        <f t="shared" si="48"/>
        <v>0</v>
      </c>
      <c r="N106" s="73">
        <f t="shared" si="49"/>
        <v>0</v>
      </c>
      <c r="O106" s="55">
        <f>MIN(Parámetros!$E93, _xlfn.XLOOKUP($A106,agnos,tope_ref_col)*UF)*12*I106*$P$14</f>
        <v>0</v>
      </c>
      <c r="P106" s="55">
        <f>MIN(Parámetros!$E93, _xlfn.XLOOKUP($A106,agnos,tope_ref_col)*UF)*12*J106*$P$14</f>
        <v>0</v>
      </c>
      <c r="Q106" s="70">
        <f t="shared" si="36"/>
        <v>0</v>
      </c>
      <c r="R106" s="70">
        <f t="shared" si="37"/>
        <v>0</v>
      </c>
      <c r="S106" s="68">
        <f t="shared" si="44"/>
        <v>0</v>
      </c>
      <c r="T106" s="68">
        <f t="shared" si="45"/>
        <v>0</v>
      </c>
      <c r="U106" s="38"/>
      <c r="V106" s="55">
        <f>IF($A106&gt;Esc_6c!D$9,0,M106*alpha  +V105*(1+i_noc))</f>
        <v>0</v>
      </c>
      <c r="W106" s="55">
        <f>IF($A106&gt;Esc_6c!E$9,0,N106*alpha  +W105*(1+i_noc))</f>
        <v>0</v>
      </c>
      <c r="X106" s="55">
        <f>IF($A106&gt;Esc_6c!D$9,0,O106*(1-alpha)+X105*(1+i_noc))</f>
        <v>0</v>
      </c>
      <c r="Y106" s="55">
        <f>IF($A106&gt;Esc_6c!E$9,0,P106*(1-alpha)+Y105*(1+i_noc))</f>
        <v>0</v>
      </c>
      <c r="Z106" s="54">
        <f t="shared" si="38"/>
        <v>0</v>
      </c>
      <c r="AA106" s="54">
        <f t="shared" si="39"/>
        <v>0</v>
      </c>
      <c r="AB106" s="55">
        <f t="shared" si="46"/>
        <v>0</v>
      </c>
      <c r="AC106" s="55">
        <f t="shared" si="47"/>
        <v>0</v>
      </c>
      <c r="AD106" s="53">
        <f>D106*mmater*Parámetros!$G93*$W$14+AD105*(1+i_noc)</f>
        <v>0</v>
      </c>
      <c r="AE106" s="53">
        <f>E106*12*Parámetros!$F93*$W$14+AE105*(1+i_noc)</f>
        <v>2927297.0934417364</v>
      </c>
      <c r="AF106" s="53">
        <f t="shared" si="42"/>
        <v>311317.33158900315</v>
      </c>
      <c r="AG106" s="53">
        <f t="shared" si="43"/>
        <v>311317.33158900315</v>
      </c>
      <c r="AI106" s="74">
        <f>($A106=Esc_6c!D$9)*Z106/(12*_xlfn.XLOOKUP(AI$15,sexo_cnu,cnu))</f>
        <v>0</v>
      </c>
      <c r="AJ106" s="74">
        <f>($A106=Esc_6c!E$9)*AA106/(12*_xlfn.XLOOKUP(AJ$15,sexo_cnu,cnu))</f>
        <v>0</v>
      </c>
      <c r="AK106" s="74">
        <f>($A106=Esc_6c!D$9)*AB106/(12*_xlfn.XLOOKUP(AK$15,sexo_cnu,cnu))</f>
        <v>0</v>
      </c>
      <c r="AL106" s="74">
        <f>($A106=Esc_6c!E$9)*AC106/(12*_xlfn.XLOOKUP(AL$15,sexo_cnu,cnu))</f>
        <v>0</v>
      </c>
      <c r="AM106" s="53">
        <f>($A106=Esc_6c!D$9)*V106/(12*_xlfn.XLOOKUP(AM$15,sexo_cnu,cnu_noc))</f>
        <v>0</v>
      </c>
      <c r="AN106" s="53">
        <f>($A106=Esc_6c!E$9)*W106/(12*_xlfn.XLOOKUP(AN$15,sexo_cnu,cnu_noc))</f>
        <v>0</v>
      </c>
      <c r="AO106" s="53">
        <f>($A106=Esc_6c!D$9)*X106/(12*_xlfn.XLOOKUP(AO$15,sexo_cnu,cnu_noc))</f>
        <v>0</v>
      </c>
      <c r="AP106" s="53">
        <f>($A106=Esc_6c!E$9)*Y106/(12*_xlfn.XLOOKUP(AP$15,sexo_cnu,cnu_noc))</f>
        <v>0</v>
      </c>
      <c r="AQ106" s="53">
        <f>($A106=Esc_6c!E$9)*AD106/(12*_xlfn.XLOOKUP(AQ$15,sexo_cnu,cnu_noc))</f>
        <v>0</v>
      </c>
      <c r="AR106" s="53">
        <f>($A106=Esc_6c!E$9)*AE106/(12*_xlfn.XLOOKUP(AR$15,sexo_cnu,cnu_noc))</f>
        <v>0</v>
      </c>
      <c r="AS106" s="53">
        <f>($A106=Esc_6c!D$9)*AF106/(12*_xlfn.XLOOKUP(AS$15,sexo_cnu,cnu_noc))</f>
        <v>0</v>
      </c>
      <c r="AT106" s="53">
        <f>($A106=Esc_6c!E$9)*AG106/(12*_xlfn.XLOOKUP(AT$15,sexo_cnu,cnu_noc))</f>
        <v>0</v>
      </c>
      <c r="AU106" s="39"/>
      <c r="AV106" s="39"/>
    </row>
    <row r="107" spans="1:48" x14ac:dyDescent="0.25">
      <c r="A107" s="30">
        <v>2072</v>
      </c>
      <c r="B107" s="33">
        <f>w_uf*UF*Parámetros!C94</f>
        <v>1561205.1736252808</v>
      </c>
      <c r="C107" s="30">
        <f t="shared" si="33"/>
        <v>93</v>
      </c>
      <c r="D107" s="30">
        <f>((A107=Inputs!$C$12)*(Inputs!$D$12) + (A107=Inputs!$C$13)*(Inputs!$D$13) + (A107=Inputs!$C$14)*(Inputs!$D$14)) *(A107 &gt;= a_afil)*(A107&gt;=2024)</f>
        <v>0</v>
      </c>
      <c r="E107" s="30">
        <f>MIN(1,(A107=Inputs!$C$19)*Inputs!$D$19+(A107=Inputs!$C$20)*Inputs!$D$20+(A107=Inputs!$C$21)*Inputs!$D$21*(A107 &gt;= a_afil))</f>
        <v>0</v>
      </c>
      <c r="F107" s="30">
        <f t="shared" si="34"/>
        <v>0</v>
      </c>
      <c r="G107" s="30">
        <f t="shared" si="35"/>
        <v>0</v>
      </c>
      <c r="H107" s="30">
        <v>0.77083277702331543</v>
      </c>
      <c r="I107" s="37">
        <f t="shared" si="40"/>
        <v>0</v>
      </c>
      <c r="J107" s="37">
        <f t="shared" si="41"/>
        <v>0</v>
      </c>
      <c r="K107" s="30">
        <f>1*OR(Inputs!$D$17=$A107,Inputs!$E$17=$A107)*($E107=0)*(F107=1)</f>
        <v>0</v>
      </c>
      <c r="L107" s="30">
        <f>1*OR(Inputs!$D$17=$A107,Inputs!$E$17=$A107)*($E107=0)*(G107=1)</f>
        <v>0</v>
      </c>
      <c r="M107" s="73">
        <f t="shared" si="48"/>
        <v>0</v>
      </c>
      <c r="N107" s="73">
        <f t="shared" si="49"/>
        <v>0</v>
      </c>
      <c r="O107" s="55">
        <f>MIN(Parámetros!$E94, _xlfn.XLOOKUP($A107,agnos,tope_ref_col)*UF)*12*I107*$P$14</f>
        <v>0</v>
      </c>
      <c r="P107" s="55">
        <f>MIN(Parámetros!$E94, _xlfn.XLOOKUP($A107,agnos,tope_ref_col)*UF)*12*J107*$P$14</f>
        <v>0</v>
      </c>
      <c r="Q107" s="70">
        <f t="shared" si="36"/>
        <v>0</v>
      </c>
      <c r="R107" s="70">
        <f t="shared" si="37"/>
        <v>0</v>
      </c>
      <c r="S107" s="68">
        <f t="shared" si="44"/>
        <v>0</v>
      </c>
      <c r="T107" s="68">
        <f t="shared" si="45"/>
        <v>0</v>
      </c>
      <c r="U107" s="38"/>
      <c r="V107" s="55">
        <f>IF($A107&gt;Esc_6c!D$9,0,M107*alpha  +V106*(1+i_noc))</f>
        <v>0</v>
      </c>
      <c r="W107" s="55">
        <f>IF($A107&gt;Esc_6c!E$9,0,N107*alpha  +W106*(1+i_noc))</f>
        <v>0</v>
      </c>
      <c r="X107" s="55">
        <f>IF($A107&gt;Esc_6c!D$9,0,O107*(1-alpha)+X106*(1+i_noc))</f>
        <v>0</v>
      </c>
      <c r="Y107" s="55">
        <f>IF($A107&gt;Esc_6c!E$9,0,P107*(1-alpha)+Y106*(1+i_noc))</f>
        <v>0</v>
      </c>
      <c r="Z107" s="54">
        <f t="shared" si="38"/>
        <v>0</v>
      </c>
      <c r="AA107" s="54">
        <f t="shared" si="39"/>
        <v>0</v>
      </c>
      <c r="AB107" s="55">
        <f t="shared" si="46"/>
        <v>0</v>
      </c>
      <c r="AC107" s="55">
        <f t="shared" si="47"/>
        <v>0</v>
      </c>
      <c r="AD107" s="53">
        <f>D107*mmater*Parámetros!$G94*$W$14+AD106*(1+i_noc)</f>
        <v>0</v>
      </c>
      <c r="AE107" s="53">
        <f>E107*12*Parámetros!$F94*$W$14+AE106*(1+i_noc)</f>
        <v>2985843.0353105711</v>
      </c>
      <c r="AF107" s="53">
        <f t="shared" si="42"/>
        <v>317543.67822078324</v>
      </c>
      <c r="AG107" s="53">
        <f t="shared" si="43"/>
        <v>317543.67822078324</v>
      </c>
      <c r="AI107" s="74">
        <f>($A107=Esc_6c!D$9)*Z107/(12*_xlfn.XLOOKUP(AI$15,sexo_cnu,cnu))</f>
        <v>0</v>
      </c>
      <c r="AJ107" s="74">
        <f>($A107=Esc_6c!E$9)*AA107/(12*_xlfn.XLOOKUP(AJ$15,sexo_cnu,cnu))</f>
        <v>0</v>
      </c>
      <c r="AK107" s="74">
        <f>($A107=Esc_6c!D$9)*AB107/(12*_xlfn.XLOOKUP(AK$15,sexo_cnu,cnu))</f>
        <v>0</v>
      </c>
      <c r="AL107" s="74">
        <f>($A107=Esc_6c!E$9)*AC107/(12*_xlfn.XLOOKUP(AL$15,sexo_cnu,cnu))</f>
        <v>0</v>
      </c>
      <c r="AM107" s="53">
        <f>($A107=Esc_6c!D$9)*V107/(12*_xlfn.XLOOKUP(AM$15,sexo_cnu,cnu_noc))</f>
        <v>0</v>
      </c>
      <c r="AN107" s="53">
        <f>($A107=Esc_6c!E$9)*W107/(12*_xlfn.XLOOKUP(AN$15,sexo_cnu,cnu_noc))</f>
        <v>0</v>
      </c>
      <c r="AO107" s="53">
        <f>($A107=Esc_6c!D$9)*X107/(12*_xlfn.XLOOKUP(AO$15,sexo_cnu,cnu_noc))</f>
        <v>0</v>
      </c>
      <c r="AP107" s="53">
        <f>($A107=Esc_6c!E$9)*Y107/(12*_xlfn.XLOOKUP(AP$15,sexo_cnu,cnu_noc))</f>
        <v>0</v>
      </c>
      <c r="AQ107" s="53">
        <f>($A107=Esc_6c!E$9)*AD107/(12*_xlfn.XLOOKUP(AQ$15,sexo_cnu,cnu_noc))</f>
        <v>0</v>
      </c>
      <c r="AR107" s="53">
        <f>($A107=Esc_6c!E$9)*AE107/(12*_xlfn.XLOOKUP(AR$15,sexo_cnu,cnu_noc))</f>
        <v>0</v>
      </c>
      <c r="AS107" s="53">
        <f>($A107=Esc_6c!D$9)*AF107/(12*_xlfn.XLOOKUP(AS$15,sexo_cnu,cnu_noc))</f>
        <v>0</v>
      </c>
      <c r="AT107" s="53">
        <f>($A107=Esc_6c!E$9)*AG107/(12*_xlfn.XLOOKUP(AT$15,sexo_cnu,cnu_noc))</f>
        <v>0</v>
      </c>
      <c r="AU107" s="39"/>
      <c r="AV107" s="39"/>
    </row>
    <row r="108" spans="1:48" x14ac:dyDescent="0.25">
      <c r="A108" s="30">
        <v>2073</v>
      </c>
      <c r="B108" s="33">
        <f>w_uf*UF*Parámetros!C95</f>
        <v>1580720.2382955968</v>
      </c>
      <c r="C108" s="30">
        <f t="shared" si="33"/>
        <v>94</v>
      </c>
      <c r="D108" s="30">
        <f>((A108=Inputs!$C$12)*(Inputs!$D$12) + (A108=Inputs!$C$13)*(Inputs!$D$13) + (A108=Inputs!$C$14)*(Inputs!$D$14)) *(A108 &gt;= a_afil)*(A108&gt;=2024)</f>
        <v>0</v>
      </c>
      <c r="E108" s="30">
        <f>MIN(1,(A108=Inputs!$C$19)*Inputs!$D$19+(A108=Inputs!$C$20)*Inputs!$D$20+(A108=Inputs!$C$21)*Inputs!$D$21*(A108 &gt;= a_afil))</f>
        <v>0</v>
      </c>
      <c r="F108" s="30">
        <f t="shared" si="34"/>
        <v>0</v>
      </c>
      <c r="G108" s="30">
        <f t="shared" si="35"/>
        <v>0</v>
      </c>
      <c r="H108" s="30">
        <v>0.21800035238265991</v>
      </c>
      <c r="I108" s="37">
        <f t="shared" si="40"/>
        <v>0</v>
      </c>
      <c r="J108" s="37">
        <f t="shared" si="41"/>
        <v>0</v>
      </c>
      <c r="K108" s="30">
        <f>1*OR(Inputs!$D$17=$A108,Inputs!$E$17=$A108)*($E108=0)*(F108=1)</f>
        <v>0</v>
      </c>
      <c r="L108" s="30">
        <f>1*OR(Inputs!$D$17=$A108,Inputs!$E$17=$A108)*($E108=0)*(G108=1)</f>
        <v>0</v>
      </c>
      <c r="M108" s="73">
        <f t="shared" si="48"/>
        <v>0</v>
      </c>
      <c r="N108" s="73">
        <f t="shared" si="49"/>
        <v>0</v>
      </c>
      <c r="O108" s="55">
        <f>MIN(Parámetros!$E95, _xlfn.XLOOKUP($A108,agnos,tope_ref_col)*UF)*12*I108*$P$14</f>
        <v>0</v>
      </c>
      <c r="P108" s="55">
        <f>MIN(Parámetros!$E95, _xlfn.XLOOKUP($A108,agnos,tope_ref_col)*UF)*12*J108*$P$14</f>
        <v>0</v>
      </c>
      <c r="Q108" s="70">
        <f t="shared" si="36"/>
        <v>0</v>
      </c>
      <c r="R108" s="70">
        <f t="shared" si="37"/>
        <v>0</v>
      </c>
      <c r="S108" s="68">
        <f t="shared" si="44"/>
        <v>0</v>
      </c>
      <c r="T108" s="68">
        <f t="shared" si="45"/>
        <v>0</v>
      </c>
      <c r="U108" s="38"/>
      <c r="V108" s="55">
        <f>IF($A108&gt;Esc_6c!D$9,0,M108*alpha  +V107*(1+i_noc))</f>
        <v>0</v>
      </c>
      <c r="W108" s="55">
        <f>IF($A108&gt;Esc_6c!E$9,0,N108*alpha  +W107*(1+i_noc))</f>
        <v>0</v>
      </c>
      <c r="X108" s="55">
        <f>IF($A108&gt;Esc_6c!D$9,0,O108*(1-alpha)+X107*(1+i_noc))</f>
        <v>0</v>
      </c>
      <c r="Y108" s="55">
        <f>IF($A108&gt;Esc_6c!E$9,0,P108*(1-alpha)+Y107*(1+i_noc))</f>
        <v>0</v>
      </c>
      <c r="Z108" s="54">
        <f t="shared" si="38"/>
        <v>0</v>
      </c>
      <c r="AA108" s="54">
        <f t="shared" si="39"/>
        <v>0</v>
      </c>
      <c r="AB108" s="55">
        <f t="shared" si="46"/>
        <v>0</v>
      </c>
      <c r="AC108" s="55">
        <f t="shared" si="47"/>
        <v>0</v>
      </c>
      <c r="AD108" s="53">
        <f>D108*mmater*Parámetros!$G95*$W$14+AD107*(1+i_noc)</f>
        <v>0</v>
      </c>
      <c r="AE108" s="53">
        <f>E108*12*Parámetros!$F95*$W$14+AE107*(1+i_noc)</f>
        <v>3045559.8960167826</v>
      </c>
      <c r="AF108" s="53">
        <f t="shared" si="42"/>
        <v>323894.55178519891</v>
      </c>
      <c r="AG108" s="53">
        <f t="shared" si="43"/>
        <v>323894.55178519891</v>
      </c>
      <c r="AI108" s="74">
        <f>($A108=Esc_6c!D$9)*Z108/(12*_xlfn.XLOOKUP(AI$15,sexo_cnu,cnu))</f>
        <v>0</v>
      </c>
      <c r="AJ108" s="74">
        <f>($A108=Esc_6c!E$9)*AA108/(12*_xlfn.XLOOKUP(AJ$15,sexo_cnu,cnu))</f>
        <v>0</v>
      </c>
      <c r="AK108" s="74">
        <f>($A108=Esc_6c!D$9)*AB108/(12*_xlfn.XLOOKUP(AK$15,sexo_cnu,cnu))</f>
        <v>0</v>
      </c>
      <c r="AL108" s="74">
        <f>($A108=Esc_6c!E$9)*AC108/(12*_xlfn.XLOOKUP(AL$15,sexo_cnu,cnu))</f>
        <v>0</v>
      </c>
      <c r="AM108" s="53">
        <f>($A108=Esc_6c!D$9)*V108/(12*_xlfn.XLOOKUP(AM$15,sexo_cnu,cnu_noc))</f>
        <v>0</v>
      </c>
      <c r="AN108" s="53">
        <f>($A108=Esc_6c!E$9)*W108/(12*_xlfn.XLOOKUP(AN$15,sexo_cnu,cnu_noc))</f>
        <v>0</v>
      </c>
      <c r="AO108" s="53">
        <f>($A108=Esc_6c!D$9)*X108/(12*_xlfn.XLOOKUP(AO$15,sexo_cnu,cnu_noc))</f>
        <v>0</v>
      </c>
      <c r="AP108" s="53">
        <f>($A108=Esc_6c!E$9)*Y108/(12*_xlfn.XLOOKUP(AP$15,sexo_cnu,cnu_noc))</f>
        <v>0</v>
      </c>
      <c r="AQ108" s="53">
        <f>($A108=Esc_6c!E$9)*AD108/(12*_xlfn.XLOOKUP(AQ$15,sexo_cnu,cnu_noc))</f>
        <v>0</v>
      </c>
      <c r="AR108" s="53">
        <f>($A108=Esc_6c!E$9)*AE108/(12*_xlfn.XLOOKUP(AR$15,sexo_cnu,cnu_noc))</f>
        <v>0</v>
      </c>
      <c r="AS108" s="53">
        <f>($A108=Esc_6c!D$9)*AF108/(12*_xlfn.XLOOKUP(AS$15,sexo_cnu,cnu_noc))</f>
        <v>0</v>
      </c>
      <c r="AT108" s="53">
        <f>($A108=Esc_6c!E$9)*AG108/(12*_xlfn.XLOOKUP(AT$15,sexo_cnu,cnu_noc))</f>
        <v>0</v>
      </c>
      <c r="AU108" s="39"/>
      <c r="AV108" s="39"/>
    </row>
    <row r="109" spans="1:48" x14ac:dyDescent="0.25">
      <c r="A109" s="30">
        <v>2074</v>
      </c>
      <c r="B109" s="33">
        <f>w_uf*UF*Parámetros!C96</f>
        <v>1600479.2412742916</v>
      </c>
      <c r="C109" s="30">
        <f t="shared" si="33"/>
        <v>95</v>
      </c>
      <c r="D109" s="30">
        <f>((A109=Inputs!$C$12)*(Inputs!$D$12) + (A109=Inputs!$C$13)*(Inputs!$D$13) + (A109=Inputs!$C$14)*(Inputs!$D$14)) *(A109 &gt;= a_afil)*(A109&gt;=2024)</f>
        <v>0</v>
      </c>
      <c r="E109" s="30">
        <f>MIN(1,(A109=Inputs!$C$19)*Inputs!$D$19+(A109=Inputs!$C$20)*Inputs!$D$20+(A109=Inputs!$C$21)*Inputs!$D$21*(A109 &gt;= a_afil))</f>
        <v>0</v>
      </c>
      <c r="F109" s="30">
        <f t="shared" si="34"/>
        <v>0</v>
      </c>
      <c r="G109" s="30">
        <f t="shared" si="35"/>
        <v>0</v>
      </c>
      <c r="H109" s="30">
        <v>0.44699323177337646</v>
      </c>
      <c r="I109" s="37">
        <f t="shared" si="40"/>
        <v>0</v>
      </c>
      <c r="J109" s="37">
        <f t="shared" si="41"/>
        <v>0</v>
      </c>
      <c r="K109" s="30">
        <f>1*OR(Inputs!$D$17=$A109,Inputs!$E$17=$A109)*($E109=0)*(F109=1)</f>
        <v>0</v>
      </c>
      <c r="L109" s="30">
        <f>1*OR(Inputs!$D$17=$A109,Inputs!$E$17=$A109)*($E109=0)*(G109=1)</f>
        <v>0</v>
      </c>
      <c r="M109" s="73">
        <f t="shared" si="48"/>
        <v>0</v>
      </c>
      <c r="N109" s="73">
        <f t="shared" si="49"/>
        <v>0</v>
      </c>
      <c r="O109" s="55">
        <f>MIN(Parámetros!$E96, _xlfn.XLOOKUP($A109,agnos,tope_ref_col)*UF)*12*I109*$P$14</f>
        <v>0</v>
      </c>
      <c r="P109" s="55">
        <f>MIN(Parámetros!$E96, _xlfn.XLOOKUP($A109,agnos,tope_ref_col)*UF)*12*J109*$P$14</f>
        <v>0</v>
      </c>
      <c r="Q109" s="70">
        <f t="shared" si="36"/>
        <v>0</v>
      </c>
      <c r="R109" s="70">
        <f t="shared" si="37"/>
        <v>0</v>
      </c>
      <c r="S109" s="68">
        <f t="shared" si="44"/>
        <v>0</v>
      </c>
      <c r="T109" s="68">
        <f t="shared" si="45"/>
        <v>0</v>
      </c>
      <c r="U109" s="38"/>
      <c r="V109" s="55">
        <f>IF($A109&gt;Esc_6c!D$9,0,M109*alpha  +V108*(1+i_noc))</f>
        <v>0</v>
      </c>
      <c r="W109" s="55">
        <f>IF($A109&gt;Esc_6c!E$9,0,N109*alpha  +W108*(1+i_noc))</f>
        <v>0</v>
      </c>
      <c r="X109" s="55">
        <f>IF($A109&gt;Esc_6c!D$9,0,O109*(1-alpha)+X108*(1+i_noc))</f>
        <v>0</v>
      </c>
      <c r="Y109" s="55">
        <f>IF($A109&gt;Esc_6c!E$9,0,P109*(1-alpha)+Y108*(1+i_noc))</f>
        <v>0</v>
      </c>
      <c r="Z109" s="54">
        <f t="shared" si="38"/>
        <v>0</v>
      </c>
      <c r="AA109" s="54">
        <f t="shared" si="39"/>
        <v>0</v>
      </c>
      <c r="AB109" s="55">
        <f t="shared" si="46"/>
        <v>0</v>
      </c>
      <c r="AC109" s="55">
        <f t="shared" si="47"/>
        <v>0</v>
      </c>
      <c r="AD109" s="53">
        <f>D109*mmater*Parámetros!$G96*$W$14+AD108*(1+i_noc)</f>
        <v>0</v>
      </c>
      <c r="AE109" s="53">
        <f>E109*12*Parámetros!$F96*$W$14+AE108*(1+i_noc)</f>
        <v>3106471.0939371185</v>
      </c>
      <c r="AF109" s="53">
        <f t="shared" si="42"/>
        <v>330372.44282090291</v>
      </c>
      <c r="AG109" s="53">
        <f t="shared" si="43"/>
        <v>330372.44282090291</v>
      </c>
      <c r="AI109" s="74">
        <f>($A109=Esc_6c!D$9)*Z109/(12*_xlfn.XLOOKUP(AI$15,sexo_cnu,cnu))</f>
        <v>0</v>
      </c>
      <c r="AJ109" s="74">
        <f>($A109=Esc_6c!E$9)*AA109/(12*_xlfn.XLOOKUP(AJ$15,sexo_cnu,cnu))</f>
        <v>0</v>
      </c>
      <c r="AK109" s="74">
        <f>($A109=Esc_6c!D$9)*AB109/(12*_xlfn.XLOOKUP(AK$15,sexo_cnu,cnu))</f>
        <v>0</v>
      </c>
      <c r="AL109" s="74">
        <f>($A109=Esc_6c!E$9)*AC109/(12*_xlfn.XLOOKUP(AL$15,sexo_cnu,cnu))</f>
        <v>0</v>
      </c>
      <c r="AM109" s="53">
        <f>($A109=Esc_6c!D$9)*V109/(12*_xlfn.XLOOKUP(AM$15,sexo_cnu,cnu_noc))</f>
        <v>0</v>
      </c>
      <c r="AN109" s="53">
        <f>($A109=Esc_6c!E$9)*W109/(12*_xlfn.XLOOKUP(AN$15,sexo_cnu,cnu_noc))</f>
        <v>0</v>
      </c>
      <c r="AO109" s="53">
        <f>($A109=Esc_6c!D$9)*X109/(12*_xlfn.XLOOKUP(AO$15,sexo_cnu,cnu_noc))</f>
        <v>0</v>
      </c>
      <c r="AP109" s="53">
        <f>($A109=Esc_6c!E$9)*Y109/(12*_xlfn.XLOOKUP(AP$15,sexo_cnu,cnu_noc))</f>
        <v>0</v>
      </c>
      <c r="AQ109" s="53">
        <f>($A109=Esc_6c!E$9)*AD109/(12*_xlfn.XLOOKUP(AQ$15,sexo_cnu,cnu_noc))</f>
        <v>0</v>
      </c>
      <c r="AR109" s="53">
        <f>($A109=Esc_6c!E$9)*AE109/(12*_xlfn.XLOOKUP(AR$15,sexo_cnu,cnu_noc))</f>
        <v>0</v>
      </c>
      <c r="AS109" s="53">
        <f>($A109=Esc_6c!D$9)*AF109/(12*_xlfn.XLOOKUP(AS$15,sexo_cnu,cnu_noc))</f>
        <v>0</v>
      </c>
      <c r="AT109" s="53">
        <f>($A109=Esc_6c!E$9)*AG109/(12*_xlfn.XLOOKUP(AT$15,sexo_cnu,cnu_noc))</f>
        <v>0</v>
      </c>
      <c r="AU109" s="39"/>
      <c r="AV109" s="39"/>
    </row>
    <row r="110" spans="1:48" x14ac:dyDescent="0.25">
      <c r="A110" s="30">
        <v>2075</v>
      </c>
      <c r="B110" s="33">
        <f>w_uf*UF*Parámetros!C97</f>
        <v>1620485.2317902204</v>
      </c>
      <c r="C110" s="30">
        <f t="shared" si="33"/>
        <v>96</v>
      </c>
      <c r="D110" s="30">
        <f>((A110=Inputs!$C$12)*(Inputs!$D$12) + (A110=Inputs!$C$13)*(Inputs!$D$13) + (A110=Inputs!$C$14)*(Inputs!$D$14)) *(A110 &gt;= a_afil)*(A110&gt;=2024)</f>
        <v>0</v>
      </c>
      <c r="E110" s="30">
        <f>MIN(1,(A110=Inputs!$C$19)*Inputs!$D$19+(A110=Inputs!$C$20)*Inputs!$D$20+(A110=Inputs!$C$21)*Inputs!$D$21*(A110 &gt;= a_afil))</f>
        <v>0</v>
      </c>
      <c r="F110" s="30">
        <f t="shared" si="34"/>
        <v>0</v>
      </c>
      <c r="G110" s="30">
        <f t="shared" si="35"/>
        <v>0</v>
      </c>
      <c r="H110" s="30">
        <v>0.23602777719497681</v>
      </c>
      <c r="I110" s="37">
        <f t="shared" si="40"/>
        <v>0</v>
      </c>
      <c r="J110" s="37">
        <f t="shared" si="41"/>
        <v>0</v>
      </c>
      <c r="K110" s="30">
        <f>1*OR(Inputs!$D$17=$A110,Inputs!$E$17=$A110)*($E110=0)*(F110=1)</f>
        <v>0</v>
      </c>
      <c r="L110" s="30">
        <f>1*OR(Inputs!$D$17=$A110,Inputs!$E$17=$A110)*($E110=0)*(G110=1)</f>
        <v>0</v>
      </c>
      <c r="M110" s="73">
        <f t="shared" si="48"/>
        <v>0</v>
      </c>
      <c r="N110" s="73">
        <f t="shared" si="49"/>
        <v>0</v>
      </c>
      <c r="O110" s="55">
        <f>MIN(Parámetros!$E97, _xlfn.XLOOKUP($A110,agnos,tope_ref_col)*UF)*12*I110*$P$14</f>
        <v>0</v>
      </c>
      <c r="P110" s="55">
        <f>MIN(Parámetros!$E97, _xlfn.XLOOKUP($A110,agnos,tope_ref_col)*UF)*12*J110*$P$14</f>
        <v>0</v>
      </c>
      <c r="Q110" s="70">
        <f t="shared" si="36"/>
        <v>0</v>
      </c>
      <c r="R110" s="70">
        <f t="shared" si="37"/>
        <v>0</v>
      </c>
      <c r="S110" s="68">
        <f t="shared" si="44"/>
        <v>0</v>
      </c>
      <c r="T110" s="68">
        <f t="shared" si="45"/>
        <v>0</v>
      </c>
      <c r="U110" s="38"/>
      <c r="V110" s="55">
        <f>IF($A110&gt;Esc_6c!D$9,0,M110*alpha  +V109*(1+i_noc))</f>
        <v>0</v>
      </c>
      <c r="W110" s="55">
        <f>IF($A110&gt;Esc_6c!E$9,0,N110*alpha  +W109*(1+i_noc))</f>
        <v>0</v>
      </c>
      <c r="X110" s="55">
        <f>IF($A110&gt;Esc_6c!D$9,0,O110*(1-alpha)+X109*(1+i_noc))</f>
        <v>0</v>
      </c>
      <c r="Y110" s="55">
        <f>IF($A110&gt;Esc_6c!E$9,0,P110*(1-alpha)+Y109*(1+i_noc))</f>
        <v>0</v>
      </c>
      <c r="Z110" s="54">
        <f t="shared" si="38"/>
        <v>0</v>
      </c>
      <c r="AA110" s="54">
        <f t="shared" si="39"/>
        <v>0</v>
      </c>
      <c r="AB110" s="55">
        <f t="shared" si="46"/>
        <v>0</v>
      </c>
      <c r="AC110" s="55">
        <f t="shared" si="47"/>
        <v>0</v>
      </c>
      <c r="AD110" s="53">
        <f>D110*mmater*Parámetros!$G97*$W$14+AD109*(1+i_noc)</f>
        <v>0</v>
      </c>
      <c r="AE110" s="53">
        <f>E110*12*Parámetros!$F97*$W$14+AE109*(1+i_noc)</f>
        <v>3168600.5158158611</v>
      </c>
      <c r="AF110" s="53">
        <f t="shared" si="42"/>
        <v>336979.89167732099</v>
      </c>
      <c r="AG110" s="53">
        <f t="shared" si="43"/>
        <v>336979.89167732099</v>
      </c>
      <c r="AI110" s="74">
        <f>($A110=Esc_6c!D$9)*Z110/(12*_xlfn.XLOOKUP(AI$15,sexo_cnu,cnu))</f>
        <v>0</v>
      </c>
      <c r="AJ110" s="74">
        <f>($A110=Esc_6c!E$9)*AA110/(12*_xlfn.XLOOKUP(AJ$15,sexo_cnu,cnu))</f>
        <v>0</v>
      </c>
      <c r="AK110" s="74">
        <f>($A110=Esc_6c!D$9)*AB110/(12*_xlfn.XLOOKUP(AK$15,sexo_cnu,cnu))</f>
        <v>0</v>
      </c>
      <c r="AL110" s="74">
        <f>($A110=Esc_6c!E$9)*AC110/(12*_xlfn.XLOOKUP(AL$15,sexo_cnu,cnu))</f>
        <v>0</v>
      </c>
      <c r="AM110" s="53">
        <f>($A110=Esc_6c!D$9)*V110/(12*_xlfn.XLOOKUP(AM$15,sexo_cnu,cnu_noc))</f>
        <v>0</v>
      </c>
      <c r="AN110" s="53">
        <f>($A110=Esc_6c!E$9)*W110/(12*_xlfn.XLOOKUP(AN$15,sexo_cnu,cnu_noc))</f>
        <v>0</v>
      </c>
      <c r="AO110" s="53">
        <f>($A110=Esc_6c!D$9)*X110/(12*_xlfn.XLOOKUP(AO$15,sexo_cnu,cnu_noc))</f>
        <v>0</v>
      </c>
      <c r="AP110" s="53">
        <f>($A110=Esc_6c!E$9)*Y110/(12*_xlfn.XLOOKUP(AP$15,sexo_cnu,cnu_noc))</f>
        <v>0</v>
      </c>
      <c r="AQ110" s="53">
        <f>($A110=Esc_6c!E$9)*AD110/(12*_xlfn.XLOOKUP(AQ$15,sexo_cnu,cnu_noc))</f>
        <v>0</v>
      </c>
      <c r="AR110" s="53">
        <f>($A110=Esc_6c!E$9)*AE110/(12*_xlfn.XLOOKUP(AR$15,sexo_cnu,cnu_noc))</f>
        <v>0</v>
      </c>
      <c r="AS110" s="53">
        <f>($A110=Esc_6c!D$9)*AF110/(12*_xlfn.XLOOKUP(AS$15,sexo_cnu,cnu_noc))</f>
        <v>0</v>
      </c>
      <c r="AT110" s="53">
        <f>($A110=Esc_6c!E$9)*AG110/(12*_xlfn.XLOOKUP(AT$15,sexo_cnu,cnu_noc))</f>
        <v>0</v>
      </c>
      <c r="AU110" s="39"/>
      <c r="AV110" s="39"/>
    </row>
    <row r="111" spans="1:48" x14ac:dyDescent="0.25">
      <c r="A111" s="30">
        <v>2076</v>
      </c>
      <c r="B111" s="33">
        <f>w_uf*UF*Parámetros!C98</f>
        <v>1640741.297187598</v>
      </c>
      <c r="C111" s="30">
        <f t="shared" si="33"/>
        <v>97</v>
      </c>
      <c r="D111" s="30">
        <f>((A111=Inputs!$C$12)*(Inputs!$D$12) + (A111=Inputs!$C$13)*(Inputs!$D$13) + (A111=Inputs!$C$14)*(Inputs!$D$14)) *(A111 &gt;= a_afil)*(A111&gt;=2024)</f>
        <v>0</v>
      </c>
      <c r="E111" s="30">
        <f>MIN(1,(A111=Inputs!$C$19)*Inputs!$D$19+(A111=Inputs!$C$20)*Inputs!$D$20+(A111=Inputs!$C$21)*Inputs!$D$21*(A111 &gt;= a_afil))</f>
        <v>0</v>
      </c>
      <c r="F111" s="30">
        <f t="shared" si="34"/>
        <v>0</v>
      </c>
      <c r="G111" s="30">
        <f t="shared" si="35"/>
        <v>0</v>
      </c>
      <c r="H111" s="30">
        <v>0.87838459014892578</v>
      </c>
      <c r="I111" s="37">
        <f t="shared" si="40"/>
        <v>0</v>
      </c>
      <c r="J111" s="37">
        <f t="shared" si="41"/>
        <v>0</v>
      </c>
      <c r="K111" s="30">
        <f>1*OR(Inputs!$D$17=$A111,Inputs!$E$17=$A111)*($E111=0)*(F111=1)</f>
        <v>0</v>
      </c>
      <c r="L111" s="30">
        <f>1*OR(Inputs!$D$17=$A111,Inputs!$E$17=$A111)*($E111=0)*(G111=1)</f>
        <v>0</v>
      </c>
      <c r="M111" s="73">
        <f t="shared" si="48"/>
        <v>0</v>
      </c>
      <c r="N111" s="73">
        <f t="shared" si="49"/>
        <v>0</v>
      </c>
      <c r="O111" s="55">
        <f>MIN(Parámetros!$E98, _xlfn.XLOOKUP($A111,agnos,tope_ref_col)*UF)*12*I111*$P$14</f>
        <v>0</v>
      </c>
      <c r="P111" s="55">
        <f>MIN(Parámetros!$E98, _xlfn.XLOOKUP($A111,agnos,tope_ref_col)*UF)*12*J111*$P$14</f>
        <v>0</v>
      </c>
      <c r="Q111" s="70">
        <f t="shared" si="36"/>
        <v>0</v>
      </c>
      <c r="R111" s="70">
        <f t="shared" si="37"/>
        <v>0</v>
      </c>
      <c r="S111" s="68">
        <f t="shared" si="44"/>
        <v>0</v>
      </c>
      <c r="T111" s="68">
        <f t="shared" si="45"/>
        <v>0</v>
      </c>
      <c r="U111" s="38"/>
      <c r="V111" s="55">
        <f>IF($A111&gt;Esc_6c!D$9,0,M111*alpha  +V110*(1+i_noc))</f>
        <v>0</v>
      </c>
      <c r="W111" s="55">
        <f>IF($A111&gt;Esc_6c!E$9,0,N111*alpha  +W110*(1+i_noc))</f>
        <v>0</v>
      </c>
      <c r="X111" s="55">
        <f>IF($A111&gt;Esc_6c!D$9,0,O111*(1-alpha)+X110*(1+i_noc))</f>
        <v>0</v>
      </c>
      <c r="Y111" s="55">
        <f>IF($A111&gt;Esc_6c!E$9,0,P111*(1-alpha)+Y110*(1+i_noc))</f>
        <v>0</v>
      </c>
      <c r="Z111" s="54">
        <f t="shared" si="38"/>
        <v>0</v>
      </c>
      <c r="AA111" s="54">
        <f t="shared" si="39"/>
        <v>0</v>
      </c>
      <c r="AB111" s="55">
        <f t="shared" si="46"/>
        <v>0</v>
      </c>
      <c r="AC111" s="55">
        <f t="shared" si="47"/>
        <v>0</v>
      </c>
      <c r="AD111" s="53">
        <f>D111*mmater*Parámetros!$G98*$W$14+AD110*(1+i_noc)</f>
        <v>0</v>
      </c>
      <c r="AE111" s="53">
        <f>E111*12*Parámetros!$F98*$W$14+AE110*(1+i_noc)</f>
        <v>3231972.5261321785</v>
      </c>
      <c r="AF111" s="53">
        <f t="shared" si="42"/>
        <v>343719.4895108674</v>
      </c>
      <c r="AG111" s="53">
        <f t="shared" si="43"/>
        <v>343719.4895108674</v>
      </c>
      <c r="AI111" s="74">
        <f>($A111=Esc_6c!D$9)*Z111/(12*_xlfn.XLOOKUP(AI$15,sexo_cnu,cnu))</f>
        <v>0</v>
      </c>
      <c r="AJ111" s="74">
        <f>($A111=Esc_6c!E$9)*AA111/(12*_xlfn.XLOOKUP(AJ$15,sexo_cnu,cnu))</f>
        <v>0</v>
      </c>
      <c r="AK111" s="74">
        <f>($A111=Esc_6c!D$9)*AB111/(12*_xlfn.XLOOKUP(AK$15,sexo_cnu,cnu))</f>
        <v>0</v>
      </c>
      <c r="AL111" s="74">
        <f>($A111=Esc_6c!E$9)*AC111/(12*_xlfn.XLOOKUP(AL$15,sexo_cnu,cnu))</f>
        <v>0</v>
      </c>
      <c r="AM111" s="53">
        <f>($A111=Esc_6c!D$9)*V111/(12*_xlfn.XLOOKUP(AM$15,sexo_cnu,cnu_noc))</f>
        <v>0</v>
      </c>
      <c r="AN111" s="53">
        <f>($A111=Esc_6c!E$9)*W111/(12*_xlfn.XLOOKUP(AN$15,sexo_cnu,cnu_noc))</f>
        <v>0</v>
      </c>
      <c r="AO111" s="53">
        <f>($A111=Esc_6c!D$9)*X111/(12*_xlfn.XLOOKUP(AO$15,sexo_cnu,cnu_noc))</f>
        <v>0</v>
      </c>
      <c r="AP111" s="53">
        <f>($A111=Esc_6c!E$9)*Y111/(12*_xlfn.XLOOKUP(AP$15,sexo_cnu,cnu_noc))</f>
        <v>0</v>
      </c>
      <c r="AQ111" s="53">
        <f>($A111=Esc_6c!E$9)*AD111/(12*_xlfn.XLOOKUP(AQ$15,sexo_cnu,cnu_noc))</f>
        <v>0</v>
      </c>
      <c r="AR111" s="53">
        <f>($A111=Esc_6c!E$9)*AE111/(12*_xlfn.XLOOKUP(AR$15,sexo_cnu,cnu_noc))</f>
        <v>0</v>
      </c>
      <c r="AS111" s="53">
        <f>($A111=Esc_6c!D$9)*AF111/(12*_xlfn.XLOOKUP(AS$15,sexo_cnu,cnu_noc))</f>
        <v>0</v>
      </c>
      <c r="AT111" s="53">
        <f>($A111=Esc_6c!E$9)*AG111/(12*_xlfn.XLOOKUP(AT$15,sexo_cnu,cnu_noc))</f>
        <v>0</v>
      </c>
      <c r="AU111" s="39"/>
      <c r="AV111" s="39"/>
    </row>
    <row r="112" spans="1:48" x14ac:dyDescent="0.25">
      <c r="A112" s="30">
        <v>2077</v>
      </c>
      <c r="B112" s="33">
        <f>w_uf*UF*Parámetros!C99</f>
        <v>1661250.563402443</v>
      </c>
      <c r="C112" s="30">
        <f t="shared" ref="C112:C135" si="50">IF(AND(A112-a_nac&lt;=110,A112-a_nac&gt;0),A112-a_nac,"")</f>
        <v>98</v>
      </c>
      <c r="D112" s="30">
        <f>((A112=Inputs!$C$12)*(Inputs!$D$12) + (A112=Inputs!$C$13)*(Inputs!$D$13) + (A112=Inputs!$C$14)*(Inputs!$D$14)) *(A112 &gt;= a_afil)*(A112&gt;=2024)</f>
        <v>0</v>
      </c>
      <c r="E112" s="30">
        <f>MIN(1,(A112=Inputs!$C$19)*Inputs!$D$19+(A112=Inputs!$C$20)*Inputs!$D$20+(A112=Inputs!$C$21)*Inputs!$D$21*(A112 &gt;= a_afil))</f>
        <v>0</v>
      </c>
      <c r="F112" s="30">
        <f t="shared" ref="F112:F134" si="51" xml:space="preserve"> (C112&lt;edad_ret_h) * (A112&gt;=a_afil)</f>
        <v>0</v>
      </c>
      <c r="G112" s="30">
        <f t="shared" ref="G112:G134" si="52" xml:space="preserve"> (C112&lt;edad_ret_m) * (A112&gt;=a_afil)</f>
        <v>0</v>
      </c>
      <c r="H112" s="30">
        <v>0.61043280363082886</v>
      </c>
      <c r="I112" s="37">
        <f t="shared" si="40"/>
        <v>0</v>
      </c>
      <c r="J112" s="37">
        <f t="shared" si="41"/>
        <v>0</v>
      </c>
      <c r="K112" s="30">
        <f>1*OR(Inputs!$D$17=$A112,Inputs!$E$17=$A112)*($E112=0)*(F112=1)</f>
        <v>0</v>
      </c>
      <c r="L112" s="30">
        <f>1*OR(Inputs!$D$17=$A112,Inputs!$E$17=$A112)*($E112=0)*(G112=1)</f>
        <v>0</v>
      </c>
      <c r="M112" s="73">
        <f t="shared" si="48"/>
        <v>0</v>
      </c>
      <c r="N112" s="73">
        <f t="shared" si="49"/>
        <v>0</v>
      </c>
      <c r="O112" s="55">
        <f>MIN(Parámetros!$E99, _xlfn.XLOOKUP($A112,agnos,tope_ref_col)*UF)*12*I112*$P$14</f>
        <v>0</v>
      </c>
      <c r="P112" s="55">
        <f>MIN(Parámetros!$E99, _xlfn.XLOOKUP($A112,agnos,tope_ref_col)*UF)*12*J112*$P$14</f>
        <v>0</v>
      </c>
      <c r="Q112" s="70">
        <f t="shared" ref="Q112:Q135" si="53">MIN($B112,_xlfn.XLOOKUP($A112,agnos,tope_base)*UF)*12*I112*$X$2</f>
        <v>0</v>
      </c>
      <c r="R112" s="70">
        <f t="shared" ref="R112:R135" si="54">MIN($B112,_xlfn.XLOOKUP($A112,agnos,tope_base)*UF)*12*J112*$X$2</f>
        <v>0</v>
      </c>
      <c r="S112" s="68">
        <f t="shared" si="44"/>
        <v>0</v>
      </c>
      <c r="T112" s="68">
        <f t="shared" si="45"/>
        <v>0</v>
      </c>
      <c r="U112" s="38"/>
      <c r="V112" s="55">
        <f>IF($A112&gt;Esc_6c!D$9,0,M112*alpha  +V111*(1+i_noc))</f>
        <v>0</v>
      </c>
      <c r="W112" s="55">
        <f>IF($A112&gt;Esc_6c!E$9,0,N112*alpha  +W111*(1+i_noc))</f>
        <v>0</v>
      </c>
      <c r="X112" s="55">
        <f>IF($A112&gt;Esc_6c!D$9,0,O112*(1-alpha)+X111*(1+i_noc))</f>
        <v>0</v>
      </c>
      <c r="Y112" s="55">
        <f>IF($A112&gt;Esc_6c!E$9,0,P112*(1-alpha)+Y111*(1+i_noc))</f>
        <v>0</v>
      </c>
      <c r="Z112" s="54">
        <f t="shared" si="38"/>
        <v>0</v>
      </c>
      <c r="AA112" s="54">
        <f t="shared" si="39"/>
        <v>0</v>
      </c>
      <c r="AB112" s="55">
        <f t="shared" si="46"/>
        <v>0</v>
      </c>
      <c r="AC112" s="55">
        <f t="shared" si="47"/>
        <v>0</v>
      </c>
      <c r="AD112" s="53">
        <f>D112*mmater*Parámetros!$G99*$W$14+AD111*(1+i_noc)</f>
        <v>0</v>
      </c>
      <c r="AE112" s="53">
        <f>E112*12*Parámetros!$F99*$W$14+AE111*(1+i_noc)</f>
        <v>3296611.976654822</v>
      </c>
      <c r="AF112" s="53">
        <f t="shared" si="42"/>
        <v>350593.87930108473</v>
      </c>
      <c r="AG112" s="53">
        <f t="shared" si="43"/>
        <v>350593.87930108473</v>
      </c>
      <c r="AI112" s="74">
        <f>($A112=Esc_6c!D$9)*Z112/(12*_xlfn.XLOOKUP(AI$15,sexo_cnu,cnu))</f>
        <v>0</v>
      </c>
      <c r="AJ112" s="74">
        <f>($A112=Esc_6c!E$9)*AA112/(12*_xlfn.XLOOKUP(AJ$15,sexo_cnu,cnu))</f>
        <v>0</v>
      </c>
      <c r="AK112" s="74">
        <f>($A112=Esc_6c!D$9)*AB112/(12*_xlfn.XLOOKUP(AK$15,sexo_cnu,cnu))</f>
        <v>0</v>
      </c>
      <c r="AL112" s="74">
        <f>($A112=Esc_6c!E$9)*AC112/(12*_xlfn.XLOOKUP(AL$15,sexo_cnu,cnu))</f>
        <v>0</v>
      </c>
      <c r="AM112" s="53">
        <f>($A112=Esc_6c!D$9)*V112/(12*_xlfn.XLOOKUP(AM$15,sexo_cnu,cnu_noc))</f>
        <v>0</v>
      </c>
      <c r="AN112" s="53">
        <f>($A112=Esc_6c!E$9)*W112/(12*_xlfn.XLOOKUP(AN$15,sexo_cnu,cnu_noc))</f>
        <v>0</v>
      </c>
      <c r="AO112" s="53">
        <f>($A112=Esc_6c!D$9)*X112/(12*_xlfn.XLOOKUP(AO$15,sexo_cnu,cnu_noc))</f>
        <v>0</v>
      </c>
      <c r="AP112" s="53">
        <f>($A112=Esc_6c!E$9)*Y112/(12*_xlfn.XLOOKUP(AP$15,sexo_cnu,cnu_noc))</f>
        <v>0</v>
      </c>
      <c r="AQ112" s="53">
        <f>($A112=Esc_6c!E$9)*AD112/(12*_xlfn.XLOOKUP(AQ$15,sexo_cnu,cnu_noc))</f>
        <v>0</v>
      </c>
      <c r="AR112" s="53">
        <f>($A112=Esc_6c!E$9)*AE112/(12*_xlfn.XLOOKUP(AR$15,sexo_cnu,cnu_noc))</f>
        <v>0</v>
      </c>
      <c r="AS112" s="53">
        <f>($A112=Esc_6c!D$9)*AF112/(12*_xlfn.XLOOKUP(AS$15,sexo_cnu,cnu_noc))</f>
        <v>0</v>
      </c>
      <c r="AT112" s="53">
        <f>($A112=Esc_6c!E$9)*AG112/(12*_xlfn.XLOOKUP(AT$15,sexo_cnu,cnu_noc))</f>
        <v>0</v>
      </c>
      <c r="AU112" s="39"/>
      <c r="AV112" s="39"/>
    </row>
    <row r="113" spans="1:48" x14ac:dyDescent="0.25">
      <c r="A113" s="30">
        <v>2078</v>
      </c>
      <c r="B113" s="33">
        <f>w_uf*UF*Parámetros!C100</f>
        <v>1682016.1954449732</v>
      </c>
      <c r="C113" s="30">
        <f t="shared" si="50"/>
        <v>99</v>
      </c>
      <c r="D113" s="30">
        <f>((A113=Inputs!$C$12)*(Inputs!$D$12) + (A113=Inputs!$C$13)*(Inputs!$D$13) + (A113=Inputs!$C$14)*(Inputs!$D$14)) *(A113 &gt;= a_afil)*(A113&gt;=2024)</f>
        <v>0</v>
      </c>
      <c r="E113" s="30">
        <f>MIN(1,(A113=Inputs!$C$19)*Inputs!$D$19+(A113=Inputs!$C$20)*Inputs!$D$20+(A113=Inputs!$C$21)*Inputs!$D$21*(A113 &gt;= a_afil))</f>
        <v>0</v>
      </c>
      <c r="F113" s="30">
        <f t="shared" si="51"/>
        <v>0</v>
      </c>
      <c r="G113" s="30">
        <f t="shared" si="52"/>
        <v>0</v>
      </c>
      <c r="H113" s="30">
        <v>0.37443220615386963</v>
      </c>
      <c r="I113" s="37">
        <f t="shared" si="40"/>
        <v>0</v>
      </c>
      <c r="J113" s="37">
        <f t="shared" si="41"/>
        <v>0</v>
      </c>
      <c r="K113" s="30">
        <f>1*OR(Inputs!$D$17=$A113,Inputs!$E$17=$A113)*($E113=0)*(F113=1)</f>
        <v>0</v>
      </c>
      <c r="L113" s="30">
        <f>1*OR(Inputs!$D$17=$A113,Inputs!$E$17=$A113)*($E113=0)*(G113=1)</f>
        <v>0</v>
      </c>
      <c r="M113" s="73">
        <f t="shared" si="48"/>
        <v>0</v>
      </c>
      <c r="N113" s="73">
        <f t="shared" si="49"/>
        <v>0</v>
      </c>
      <c r="O113" s="55">
        <f>MIN(Parámetros!$E100, _xlfn.XLOOKUP($A113,agnos,tope_ref_col)*UF)*12*I113*$P$14</f>
        <v>0</v>
      </c>
      <c r="P113" s="55">
        <f>MIN(Parámetros!$E100, _xlfn.XLOOKUP($A113,agnos,tope_ref_col)*UF)*12*J113*$P$14</f>
        <v>0</v>
      </c>
      <c r="Q113" s="70">
        <f t="shared" si="53"/>
        <v>0</v>
      </c>
      <c r="R113" s="70">
        <f t="shared" si="54"/>
        <v>0</v>
      </c>
      <c r="S113" s="68">
        <f t="shared" si="44"/>
        <v>0</v>
      </c>
      <c r="T113" s="68">
        <f t="shared" si="45"/>
        <v>0</v>
      </c>
      <c r="U113" s="38"/>
      <c r="V113" s="55">
        <f>IF($A113&gt;Esc_6c!D$9,0,M113*alpha  +V112*(1+i_noc))</f>
        <v>0</v>
      </c>
      <c r="W113" s="55">
        <f>IF($A113&gt;Esc_6c!E$9,0,N113*alpha  +W112*(1+i_noc))</f>
        <v>0</v>
      </c>
      <c r="X113" s="55">
        <f>IF($A113&gt;Esc_6c!D$9,0,O113*(1-alpha)+X112*(1+i_noc))</f>
        <v>0</v>
      </c>
      <c r="Y113" s="55">
        <f>IF($A113&gt;Esc_6c!E$9,0,P113*(1-alpha)+Y112*(1+i_noc))</f>
        <v>0</v>
      </c>
      <c r="Z113" s="54">
        <f t="shared" ref="Z113:Z135" si="55">F112*Z112*(1+_xlfn.XLOOKUP(MIN(2024,$A112),agnos_rent,rent_base))+Q113</f>
        <v>0</v>
      </c>
      <c r="AA113" s="54">
        <f t="shared" ref="AA113:AA135" si="56">G112*AA112*(1+_xlfn.XLOOKUP(MIN(2024,$A112),agnos_rent,rent_base))+R113</f>
        <v>0</v>
      </c>
      <c r="AB113" s="55">
        <f t="shared" si="46"/>
        <v>0</v>
      </c>
      <c r="AC113" s="55">
        <f t="shared" si="47"/>
        <v>0</v>
      </c>
      <c r="AD113" s="53">
        <f>D113*mmater*Parámetros!$G100*$W$14+AD112*(1+i_noc)</f>
        <v>0</v>
      </c>
      <c r="AE113" s="53">
        <f>E113*12*Parámetros!$F100*$W$14+AE112*(1+i_noc)</f>
        <v>3362544.2161879186</v>
      </c>
      <c r="AF113" s="53">
        <f t="shared" si="42"/>
        <v>357605.75688710646</v>
      </c>
      <c r="AG113" s="53">
        <f t="shared" si="43"/>
        <v>357605.75688710646</v>
      </c>
      <c r="AI113" s="74">
        <f>($A113=Esc_6c!D$9)*Z113/(12*_xlfn.XLOOKUP(AI$15,sexo_cnu,cnu))</f>
        <v>0</v>
      </c>
      <c r="AJ113" s="74">
        <f>($A113=Esc_6c!E$9)*AA113/(12*_xlfn.XLOOKUP(AJ$15,sexo_cnu,cnu))</f>
        <v>0</v>
      </c>
      <c r="AK113" s="74">
        <f>($A113=Esc_6c!D$9)*AB113/(12*_xlfn.XLOOKUP(AK$15,sexo_cnu,cnu))</f>
        <v>0</v>
      </c>
      <c r="AL113" s="74">
        <f>($A113=Esc_6c!E$9)*AC113/(12*_xlfn.XLOOKUP(AL$15,sexo_cnu,cnu))</f>
        <v>0</v>
      </c>
      <c r="AM113" s="53">
        <f>($A113=Esc_6c!D$9)*V113/(12*_xlfn.XLOOKUP(AM$15,sexo_cnu,cnu_noc))</f>
        <v>0</v>
      </c>
      <c r="AN113" s="53">
        <f>($A113=Esc_6c!E$9)*W113/(12*_xlfn.XLOOKUP(AN$15,sexo_cnu,cnu_noc))</f>
        <v>0</v>
      </c>
      <c r="AO113" s="53">
        <f>($A113=Esc_6c!D$9)*X113/(12*_xlfn.XLOOKUP(AO$15,sexo_cnu,cnu_noc))</f>
        <v>0</v>
      </c>
      <c r="AP113" s="53">
        <f>($A113=Esc_6c!E$9)*Y113/(12*_xlfn.XLOOKUP(AP$15,sexo_cnu,cnu_noc))</f>
        <v>0</v>
      </c>
      <c r="AQ113" s="53">
        <f>($A113=Esc_6c!E$9)*AD113/(12*_xlfn.XLOOKUP(AQ$15,sexo_cnu,cnu_noc))</f>
        <v>0</v>
      </c>
      <c r="AR113" s="53">
        <f>($A113=Esc_6c!E$9)*AE113/(12*_xlfn.XLOOKUP(AR$15,sexo_cnu,cnu_noc))</f>
        <v>0</v>
      </c>
      <c r="AS113" s="53">
        <f>($A113=Esc_6c!D$9)*AF113/(12*_xlfn.XLOOKUP(AS$15,sexo_cnu,cnu_noc))</f>
        <v>0</v>
      </c>
      <c r="AT113" s="53">
        <f>($A113=Esc_6c!E$9)*AG113/(12*_xlfn.XLOOKUP(AT$15,sexo_cnu,cnu_noc))</f>
        <v>0</v>
      </c>
      <c r="AU113" s="39"/>
      <c r="AV113" s="39"/>
    </row>
    <row r="114" spans="1:48" x14ac:dyDescent="0.25">
      <c r="A114" s="30">
        <v>2079</v>
      </c>
      <c r="B114" s="33">
        <f>w_uf*UF*Parámetros!C101</f>
        <v>1703041.3978880353</v>
      </c>
      <c r="C114" s="30">
        <f t="shared" si="50"/>
        <v>100</v>
      </c>
      <c r="D114" s="30">
        <f>((A114=Inputs!$C$12)*(Inputs!$D$12) + (A114=Inputs!$C$13)*(Inputs!$D$13) + (A114=Inputs!$C$14)*(Inputs!$D$14)) *(A114 &gt;= a_afil)*(A114&gt;=2024)</f>
        <v>0</v>
      </c>
      <c r="E114" s="30">
        <f>MIN(1,(A114=Inputs!$C$19)*Inputs!$D$19+(A114=Inputs!$C$20)*Inputs!$D$20+(A114=Inputs!$C$21)*Inputs!$D$21*(A114 &gt;= a_afil))</f>
        <v>0</v>
      </c>
      <c r="F114" s="30">
        <f t="shared" si="51"/>
        <v>0</v>
      </c>
      <c r="G114" s="30">
        <f t="shared" si="52"/>
        <v>0</v>
      </c>
      <c r="H114" s="30">
        <v>0.38950186967849731</v>
      </c>
      <c r="I114" s="37">
        <f t="shared" si="40"/>
        <v>0</v>
      </c>
      <c r="J114" s="37">
        <f t="shared" si="41"/>
        <v>0</v>
      </c>
      <c r="K114" s="30">
        <f>1*OR(Inputs!$D$17=$A114,Inputs!$E$17=$A114)*($E114=0)*(F114=1)</f>
        <v>0</v>
      </c>
      <c r="L114" s="30">
        <f>1*OR(Inputs!$D$17=$A114,Inputs!$E$17=$A114)*($E114=0)*(G114=1)</f>
        <v>0</v>
      </c>
      <c r="M114" s="73">
        <f t="shared" si="48"/>
        <v>0</v>
      </c>
      <c r="N114" s="73">
        <f t="shared" si="49"/>
        <v>0</v>
      </c>
      <c r="O114" s="55">
        <f>MIN(Parámetros!$E101, _xlfn.XLOOKUP($A114,agnos,tope_ref_col)*UF)*12*I114*$P$14</f>
        <v>0</v>
      </c>
      <c r="P114" s="55">
        <f>MIN(Parámetros!$E101, _xlfn.XLOOKUP($A114,agnos,tope_ref_col)*UF)*12*J114*$P$14</f>
        <v>0</v>
      </c>
      <c r="Q114" s="70">
        <f t="shared" si="53"/>
        <v>0</v>
      </c>
      <c r="R114" s="70">
        <f t="shared" si="54"/>
        <v>0</v>
      </c>
      <c r="S114" s="68">
        <f t="shared" si="44"/>
        <v>0</v>
      </c>
      <c r="T114" s="68">
        <f t="shared" si="45"/>
        <v>0</v>
      </c>
      <c r="U114" s="38"/>
      <c r="V114" s="55">
        <f>IF($A114&gt;Esc_6c!D$9,0,M114*alpha  +V113*(1+i_noc))</f>
        <v>0</v>
      </c>
      <c r="W114" s="55">
        <f>IF($A114&gt;Esc_6c!E$9,0,N114*alpha  +W113*(1+i_noc))</f>
        <v>0</v>
      </c>
      <c r="X114" s="55">
        <f>IF($A114&gt;Esc_6c!D$9,0,O114*(1-alpha)+X113*(1+i_noc))</f>
        <v>0</v>
      </c>
      <c r="Y114" s="55">
        <f>IF($A114&gt;Esc_6c!E$9,0,P114*(1-alpha)+Y113*(1+i_noc))</f>
        <v>0</v>
      </c>
      <c r="Z114" s="54">
        <f t="shared" si="55"/>
        <v>0</v>
      </c>
      <c r="AA114" s="54">
        <f t="shared" si="56"/>
        <v>0</v>
      </c>
      <c r="AB114" s="55">
        <f t="shared" si="46"/>
        <v>0</v>
      </c>
      <c r="AC114" s="55">
        <f t="shared" si="47"/>
        <v>0</v>
      </c>
      <c r="AD114" s="53">
        <f>D114*mmater*Parámetros!$G101*$W$14+AD113*(1+i_noc)</f>
        <v>0</v>
      </c>
      <c r="AE114" s="53">
        <f>E114*12*Parámetros!$F101*$W$14+AE113*(1+i_noc)</f>
        <v>3429795.1005116771</v>
      </c>
      <c r="AF114" s="53">
        <f t="shared" si="42"/>
        <v>364757.87202484859</v>
      </c>
      <c r="AG114" s="53">
        <f t="shared" si="43"/>
        <v>364757.87202484859</v>
      </c>
      <c r="AI114" s="74">
        <f>($A114=Esc_6c!D$9)*Z114/(12*_xlfn.XLOOKUP(AI$15,sexo_cnu,cnu))</f>
        <v>0</v>
      </c>
      <c r="AJ114" s="74">
        <f>($A114=Esc_6c!E$9)*AA114/(12*_xlfn.XLOOKUP(AJ$15,sexo_cnu,cnu))</f>
        <v>0</v>
      </c>
      <c r="AK114" s="74">
        <f>($A114=Esc_6c!D$9)*AB114/(12*_xlfn.XLOOKUP(AK$15,sexo_cnu,cnu))</f>
        <v>0</v>
      </c>
      <c r="AL114" s="74">
        <f>($A114=Esc_6c!E$9)*AC114/(12*_xlfn.XLOOKUP(AL$15,sexo_cnu,cnu))</f>
        <v>0</v>
      </c>
      <c r="AM114" s="53">
        <f>($A114=Esc_6c!D$9)*V114/(12*_xlfn.XLOOKUP(AM$15,sexo_cnu,cnu_noc))</f>
        <v>0</v>
      </c>
      <c r="AN114" s="53">
        <f>($A114=Esc_6c!E$9)*W114/(12*_xlfn.XLOOKUP(AN$15,sexo_cnu,cnu_noc))</f>
        <v>0</v>
      </c>
      <c r="AO114" s="53">
        <f>($A114=Esc_6c!D$9)*X114/(12*_xlfn.XLOOKUP(AO$15,sexo_cnu,cnu_noc))</f>
        <v>0</v>
      </c>
      <c r="AP114" s="53">
        <f>($A114=Esc_6c!E$9)*Y114/(12*_xlfn.XLOOKUP(AP$15,sexo_cnu,cnu_noc))</f>
        <v>0</v>
      </c>
      <c r="AQ114" s="53">
        <f>($A114=Esc_6c!E$9)*AD114/(12*_xlfn.XLOOKUP(AQ$15,sexo_cnu,cnu_noc))</f>
        <v>0</v>
      </c>
      <c r="AR114" s="53">
        <f>($A114=Esc_6c!E$9)*AE114/(12*_xlfn.XLOOKUP(AR$15,sexo_cnu,cnu_noc))</f>
        <v>0</v>
      </c>
      <c r="AS114" s="53">
        <f>($A114=Esc_6c!D$9)*AF114/(12*_xlfn.XLOOKUP(AS$15,sexo_cnu,cnu_noc))</f>
        <v>0</v>
      </c>
      <c r="AT114" s="53">
        <f>($A114=Esc_6c!E$9)*AG114/(12*_xlfn.XLOOKUP(AT$15,sexo_cnu,cnu_noc))</f>
        <v>0</v>
      </c>
      <c r="AU114" s="39"/>
      <c r="AV114" s="39"/>
    </row>
    <row r="115" spans="1:48" x14ac:dyDescent="0.25">
      <c r="A115" s="30">
        <v>2080</v>
      </c>
      <c r="B115" s="33">
        <f>w_uf*UF*Parámetros!C102</f>
        <v>1724329.4153616359</v>
      </c>
      <c r="C115" s="30">
        <f t="shared" si="50"/>
        <v>101</v>
      </c>
      <c r="D115" s="30">
        <f>((A115=Inputs!$C$12)*(Inputs!$D$12) + (A115=Inputs!$C$13)*(Inputs!$D$13) + (A115=Inputs!$C$14)*(Inputs!$D$14)) *(A115 &gt;= a_afil)*(A115&gt;=2024)</f>
        <v>0</v>
      </c>
      <c r="E115" s="30">
        <f>MIN(1,(A115=Inputs!$C$19)*Inputs!$D$19+(A115=Inputs!$C$20)*Inputs!$D$20+(A115=Inputs!$C$21)*Inputs!$D$21*(A115 &gt;= a_afil))</f>
        <v>0</v>
      </c>
      <c r="F115" s="30">
        <f t="shared" si="51"/>
        <v>0</v>
      </c>
      <c r="G115" s="30">
        <f t="shared" si="52"/>
        <v>0</v>
      </c>
      <c r="H115" s="30">
        <v>0.86058926582336426</v>
      </c>
      <c r="I115" s="37">
        <f t="shared" si="40"/>
        <v>0</v>
      </c>
      <c r="J115" s="37">
        <f t="shared" si="41"/>
        <v>0</v>
      </c>
      <c r="K115" s="30">
        <f>1*OR(Inputs!$D$17=$A115,Inputs!$E$17=$A115)*($E115=0)*(F115=1)</f>
        <v>0</v>
      </c>
      <c r="L115" s="30">
        <f>1*OR(Inputs!$D$17=$A115,Inputs!$E$17=$A115)*($E115=0)*(G115=1)</f>
        <v>0</v>
      </c>
      <c r="M115" s="73">
        <f t="shared" si="48"/>
        <v>0</v>
      </c>
      <c r="N115" s="73">
        <f t="shared" si="49"/>
        <v>0</v>
      </c>
      <c r="O115" s="55">
        <f>MIN(Parámetros!$E102, _xlfn.XLOOKUP($A115,agnos,tope_ref_col)*UF)*12*I115*$P$14</f>
        <v>0</v>
      </c>
      <c r="P115" s="55">
        <f>MIN(Parámetros!$E102, _xlfn.XLOOKUP($A115,agnos,tope_ref_col)*UF)*12*J115*$P$14</f>
        <v>0</v>
      </c>
      <c r="Q115" s="70">
        <f t="shared" si="53"/>
        <v>0</v>
      </c>
      <c r="R115" s="70">
        <f t="shared" si="54"/>
        <v>0</v>
      </c>
      <c r="S115" s="68">
        <f t="shared" si="44"/>
        <v>0</v>
      </c>
      <c r="T115" s="68">
        <f t="shared" si="45"/>
        <v>0</v>
      </c>
      <c r="U115" s="38"/>
      <c r="V115" s="55">
        <f>IF($A115&gt;Esc_6c!D$9,0,M115*alpha  +V114*(1+i_noc))</f>
        <v>0</v>
      </c>
      <c r="W115" s="55">
        <f>IF($A115&gt;Esc_6c!E$9,0,N115*alpha  +W114*(1+i_noc))</f>
        <v>0</v>
      </c>
      <c r="X115" s="55">
        <f>IF($A115&gt;Esc_6c!D$9,0,O115*(1-alpha)+X114*(1+i_noc))</f>
        <v>0</v>
      </c>
      <c r="Y115" s="55">
        <f>IF($A115&gt;Esc_6c!E$9,0,P115*(1-alpha)+Y114*(1+i_noc))</f>
        <v>0</v>
      </c>
      <c r="Z115" s="54">
        <f t="shared" si="55"/>
        <v>0</v>
      </c>
      <c r="AA115" s="54">
        <f t="shared" si="56"/>
        <v>0</v>
      </c>
      <c r="AB115" s="55">
        <f t="shared" si="46"/>
        <v>0</v>
      </c>
      <c r="AC115" s="55">
        <f t="shared" si="47"/>
        <v>0</v>
      </c>
      <c r="AD115" s="53">
        <f>D115*mmater*Parámetros!$G102*$W$14+AD114*(1+i_noc)</f>
        <v>0</v>
      </c>
      <c r="AE115" s="53">
        <f>E115*12*Parámetros!$F102*$W$14+AE114*(1+i_noc)</f>
        <v>3498391.0025219107</v>
      </c>
      <c r="AF115" s="53">
        <f t="shared" si="42"/>
        <v>372053.02946534555</v>
      </c>
      <c r="AG115" s="53">
        <f t="shared" si="43"/>
        <v>372053.02946534555</v>
      </c>
      <c r="AI115" s="74">
        <f>($A115=Esc_6c!D$9)*Z115/(12*_xlfn.XLOOKUP(AI$15,sexo_cnu,cnu))</f>
        <v>0</v>
      </c>
      <c r="AJ115" s="74">
        <f>($A115=Esc_6c!E$9)*AA115/(12*_xlfn.XLOOKUP(AJ$15,sexo_cnu,cnu))</f>
        <v>0</v>
      </c>
      <c r="AK115" s="74">
        <f>($A115=Esc_6c!D$9)*AB115/(12*_xlfn.XLOOKUP(AK$15,sexo_cnu,cnu))</f>
        <v>0</v>
      </c>
      <c r="AL115" s="74">
        <f>($A115=Esc_6c!E$9)*AC115/(12*_xlfn.XLOOKUP(AL$15,sexo_cnu,cnu))</f>
        <v>0</v>
      </c>
      <c r="AM115" s="53">
        <f>($A115=Esc_6c!D$9)*V115/(12*_xlfn.XLOOKUP(AM$15,sexo_cnu,cnu_noc))</f>
        <v>0</v>
      </c>
      <c r="AN115" s="53">
        <f>($A115=Esc_6c!E$9)*W115/(12*_xlfn.XLOOKUP(AN$15,sexo_cnu,cnu_noc))</f>
        <v>0</v>
      </c>
      <c r="AO115" s="53">
        <f>($A115=Esc_6c!D$9)*X115/(12*_xlfn.XLOOKUP(AO$15,sexo_cnu,cnu_noc))</f>
        <v>0</v>
      </c>
      <c r="AP115" s="53">
        <f>($A115=Esc_6c!E$9)*Y115/(12*_xlfn.XLOOKUP(AP$15,sexo_cnu,cnu_noc))</f>
        <v>0</v>
      </c>
      <c r="AQ115" s="53">
        <f>($A115=Esc_6c!E$9)*AD115/(12*_xlfn.XLOOKUP(AQ$15,sexo_cnu,cnu_noc))</f>
        <v>0</v>
      </c>
      <c r="AR115" s="53">
        <f>($A115=Esc_6c!E$9)*AE115/(12*_xlfn.XLOOKUP(AR$15,sexo_cnu,cnu_noc))</f>
        <v>0</v>
      </c>
      <c r="AS115" s="53">
        <f>($A115=Esc_6c!D$9)*AF115/(12*_xlfn.XLOOKUP(AS$15,sexo_cnu,cnu_noc))</f>
        <v>0</v>
      </c>
      <c r="AT115" s="53">
        <f>($A115=Esc_6c!E$9)*AG115/(12*_xlfn.XLOOKUP(AT$15,sexo_cnu,cnu_noc))</f>
        <v>0</v>
      </c>
      <c r="AU115" s="39"/>
      <c r="AV115" s="39"/>
    </row>
    <row r="116" spans="1:48" x14ac:dyDescent="0.25">
      <c r="A116" s="30">
        <v>2081</v>
      </c>
      <c r="B116" s="33">
        <f>w_uf*UF*Parámetros!C103</f>
        <v>1745883.5330536563</v>
      </c>
      <c r="C116" s="30">
        <f t="shared" si="50"/>
        <v>102</v>
      </c>
      <c r="D116" s="30">
        <f>((A116=Inputs!$C$12)*(Inputs!$D$12) + (A116=Inputs!$C$13)*(Inputs!$D$13) + (A116=Inputs!$C$14)*(Inputs!$D$14)) *(A116 &gt;= a_afil)*(A116&gt;=2024)</f>
        <v>0</v>
      </c>
      <c r="E116" s="30">
        <f>MIN(1,(A116=Inputs!$C$19)*Inputs!$D$19+(A116=Inputs!$C$20)*Inputs!$D$20+(A116=Inputs!$C$21)*Inputs!$D$21*(A116 &gt;= a_afil))</f>
        <v>0</v>
      </c>
      <c r="F116" s="30">
        <f t="shared" si="51"/>
        <v>0</v>
      </c>
      <c r="G116" s="30">
        <f t="shared" si="52"/>
        <v>0</v>
      </c>
      <c r="H116" s="30">
        <v>0.58593791723251343</v>
      </c>
      <c r="I116" s="37">
        <f t="shared" si="40"/>
        <v>0</v>
      </c>
      <c r="J116" s="37">
        <f t="shared" si="41"/>
        <v>0</v>
      </c>
      <c r="K116" s="30">
        <f>1*OR(Inputs!$D$17=$A116,Inputs!$E$17=$A116)*($E116=0)*(F116=1)</f>
        <v>0</v>
      </c>
      <c r="L116" s="30">
        <f>1*OR(Inputs!$D$17=$A116,Inputs!$E$17=$A116)*($E116=0)*(G116=1)</f>
        <v>0</v>
      </c>
      <c r="M116" s="73">
        <f t="shared" si="48"/>
        <v>0</v>
      </c>
      <c r="N116" s="73">
        <f t="shared" si="49"/>
        <v>0</v>
      </c>
      <c r="O116" s="55">
        <f>MIN(Parámetros!$E103, _xlfn.XLOOKUP($A116,agnos,tope_ref_col)*UF)*12*I116*$P$14</f>
        <v>0</v>
      </c>
      <c r="P116" s="55">
        <f>MIN(Parámetros!$E103, _xlfn.XLOOKUP($A116,agnos,tope_ref_col)*UF)*12*J116*$P$14</f>
        <v>0</v>
      </c>
      <c r="Q116" s="70">
        <f t="shared" si="53"/>
        <v>0</v>
      </c>
      <c r="R116" s="70">
        <f t="shared" si="54"/>
        <v>0</v>
      </c>
      <c r="S116" s="68">
        <f t="shared" si="44"/>
        <v>0</v>
      </c>
      <c r="T116" s="68">
        <f t="shared" si="45"/>
        <v>0</v>
      </c>
      <c r="U116" s="38"/>
      <c r="V116" s="55">
        <f>IF($A116&gt;Esc_6c!D$9,0,M116*alpha  +V115*(1+i_noc))</f>
        <v>0</v>
      </c>
      <c r="W116" s="55">
        <f>IF($A116&gt;Esc_6c!E$9,0,N116*alpha  +W115*(1+i_noc))</f>
        <v>0</v>
      </c>
      <c r="X116" s="55">
        <f>IF($A116&gt;Esc_6c!D$9,0,O116*(1-alpha)+X115*(1+i_noc))</f>
        <v>0</v>
      </c>
      <c r="Y116" s="55">
        <f>IF($A116&gt;Esc_6c!E$9,0,P116*(1-alpha)+Y115*(1+i_noc))</f>
        <v>0</v>
      </c>
      <c r="Z116" s="54">
        <f t="shared" si="55"/>
        <v>0</v>
      </c>
      <c r="AA116" s="54">
        <f t="shared" si="56"/>
        <v>0</v>
      </c>
      <c r="AB116" s="55">
        <f t="shared" si="46"/>
        <v>0</v>
      </c>
      <c r="AC116" s="55">
        <f t="shared" si="47"/>
        <v>0</v>
      </c>
      <c r="AD116" s="53">
        <f>D116*mmater*Parámetros!$G103*$W$14+AD115*(1+i_noc)</f>
        <v>0</v>
      </c>
      <c r="AE116" s="53">
        <f>E116*12*Parámetros!$F103*$W$14+AE115*(1+i_noc)</f>
        <v>3568358.8225723491</v>
      </c>
      <c r="AF116" s="53">
        <f t="shared" si="42"/>
        <v>379494.09005465248</v>
      </c>
      <c r="AG116" s="53">
        <f t="shared" si="43"/>
        <v>379494.09005465248</v>
      </c>
      <c r="AI116" s="74">
        <f>($A116=Esc_6c!D$9)*Z116/(12*_xlfn.XLOOKUP(AI$15,sexo_cnu,cnu))</f>
        <v>0</v>
      </c>
      <c r="AJ116" s="74">
        <f>($A116=Esc_6c!E$9)*AA116/(12*_xlfn.XLOOKUP(AJ$15,sexo_cnu,cnu))</f>
        <v>0</v>
      </c>
      <c r="AK116" s="74">
        <f>($A116=Esc_6c!D$9)*AB116/(12*_xlfn.XLOOKUP(AK$15,sexo_cnu,cnu))</f>
        <v>0</v>
      </c>
      <c r="AL116" s="74">
        <f>($A116=Esc_6c!E$9)*AC116/(12*_xlfn.XLOOKUP(AL$15,sexo_cnu,cnu))</f>
        <v>0</v>
      </c>
      <c r="AM116" s="53">
        <f>($A116=Esc_6c!D$9)*V116/(12*_xlfn.XLOOKUP(AM$15,sexo_cnu,cnu_noc))</f>
        <v>0</v>
      </c>
      <c r="AN116" s="53">
        <f>($A116=Esc_6c!E$9)*W116/(12*_xlfn.XLOOKUP(AN$15,sexo_cnu,cnu_noc))</f>
        <v>0</v>
      </c>
      <c r="AO116" s="53">
        <f>($A116=Esc_6c!D$9)*X116/(12*_xlfn.XLOOKUP(AO$15,sexo_cnu,cnu_noc))</f>
        <v>0</v>
      </c>
      <c r="AP116" s="53">
        <f>($A116=Esc_6c!E$9)*Y116/(12*_xlfn.XLOOKUP(AP$15,sexo_cnu,cnu_noc))</f>
        <v>0</v>
      </c>
      <c r="AQ116" s="53">
        <f>($A116=Esc_6c!E$9)*AD116/(12*_xlfn.XLOOKUP(AQ$15,sexo_cnu,cnu_noc))</f>
        <v>0</v>
      </c>
      <c r="AR116" s="53">
        <f>($A116=Esc_6c!E$9)*AE116/(12*_xlfn.XLOOKUP(AR$15,sexo_cnu,cnu_noc))</f>
        <v>0</v>
      </c>
      <c r="AS116" s="53">
        <f>($A116=Esc_6c!D$9)*AF116/(12*_xlfn.XLOOKUP(AS$15,sexo_cnu,cnu_noc))</f>
        <v>0</v>
      </c>
      <c r="AT116" s="53">
        <f>($A116=Esc_6c!E$9)*AG116/(12*_xlfn.XLOOKUP(AT$15,sexo_cnu,cnu_noc))</f>
        <v>0</v>
      </c>
      <c r="AU116" s="39"/>
      <c r="AV116" s="39"/>
    </row>
    <row r="117" spans="1:48" x14ac:dyDescent="0.25">
      <c r="A117" s="30">
        <v>2082</v>
      </c>
      <c r="B117" s="33">
        <f>w_uf*UF*Parámetros!C104</f>
        <v>1767707.0772168266</v>
      </c>
      <c r="C117" s="30">
        <f t="shared" si="50"/>
        <v>103</v>
      </c>
      <c r="D117" s="30">
        <f>((A117=Inputs!$C$12)*(Inputs!$D$12) + (A117=Inputs!$C$13)*(Inputs!$D$13) + (A117=Inputs!$C$14)*(Inputs!$D$14)) *(A117 &gt;= a_afil)*(A117&gt;=2024)</f>
        <v>0</v>
      </c>
      <c r="E117" s="30">
        <f>MIN(1,(A117=Inputs!$C$19)*Inputs!$D$19+(A117=Inputs!$C$20)*Inputs!$D$20+(A117=Inputs!$C$21)*Inputs!$D$21*(A117 &gt;= a_afil))</f>
        <v>0</v>
      </c>
      <c r="F117" s="30">
        <f t="shared" si="51"/>
        <v>0</v>
      </c>
      <c r="G117" s="30">
        <f t="shared" si="52"/>
        <v>0</v>
      </c>
      <c r="H117" s="30">
        <v>0.93155944347381592</v>
      </c>
      <c r="I117" s="37">
        <f t="shared" si="40"/>
        <v>0</v>
      </c>
      <c r="J117" s="37">
        <f t="shared" si="41"/>
        <v>0</v>
      </c>
      <c r="K117" s="30">
        <f>1*OR(Inputs!$D$17=$A117,Inputs!$E$17=$A117)*($E117=0)*(F117=1)</f>
        <v>0</v>
      </c>
      <c r="L117" s="30">
        <f>1*OR(Inputs!$D$17=$A117,Inputs!$E$17=$A117)*($E117=0)*(G117=1)</f>
        <v>0</v>
      </c>
      <c r="M117" s="73">
        <f t="shared" si="48"/>
        <v>0</v>
      </c>
      <c r="N117" s="73">
        <f t="shared" si="49"/>
        <v>0</v>
      </c>
      <c r="O117" s="55">
        <f>MIN(Parámetros!$E104, _xlfn.XLOOKUP($A117,agnos,tope_ref_col)*UF)*12*I117*$P$14</f>
        <v>0</v>
      </c>
      <c r="P117" s="55">
        <f>MIN(Parámetros!$E104, _xlfn.XLOOKUP($A117,agnos,tope_ref_col)*UF)*12*J117*$P$14</f>
        <v>0</v>
      </c>
      <c r="Q117" s="70">
        <f t="shared" si="53"/>
        <v>0</v>
      </c>
      <c r="R117" s="70">
        <f t="shared" si="54"/>
        <v>0</v>
      </c>
      <c r="S117" s="68">
        <f t="shared" si="44"/>
        <v>0</v>
      </c>
      <c r="T117" s="68">
        <f t="shared" si="45"/>
        <v>0</v>
      </c>
      <c r="U117" s="38"/>
      <c r="V117" s="55">
        <f>IF($A117&gt;Esc_6c!D$9,0,M117*alpha  +V116*(1+i_noc))</f>
        <v>0</v>
      </c>
      <c r="W117" s="55">
        <f>IF($A117&gt;Esc_6c!E$9,0,N117*alpha  +W116*(1+i_noc))</f>
        <v>0</v>
      </c>
      <c r="X117" s="55">
        <f>IF($A117&gt;Esc_6c!D$9,0,O117*(1-alpha)+X116*(1+i_noc))</f>
        <v>0</v>
      </c>
      <c r="Y117" s="55">
        <f>IF($A117&gt;Esc_6c!E$9,0,P117*(1-alpha)+Y116*(1+i_noc))</f>
        <v>0</v>
      </c>
      <c r="Z117" s="54">
        <f t="shared" si="55"/>
        <v>0</v>
      </c>
      <c r="AA117" s="54">
        <f t="shared" si="56"/>
        <v>0</v>
      </c>
      <c r="AB117" s="55">
        <f t="shared" si="46"/>
        <v>0</v>
      </c>
      <c r="AC117" s="55">
        <f t="shared" si="47"/>
        <v>0</v>
      </c>
      <c r="AD117" s="53">
        <f>D117*mmater*Parámetros!$G104*$W$14+AD116*(1+i_noc)</f>
        <v>0</v>
      </c>
      <c r="AE117" s="53">
        <f>E117*12*Parámetros!$F104*$W$14+AE116*(1+i_noc)</f>
        <v>3639725.9990237961</v>
      </c>
      <c r="AF117" s="53">
        <f t="shared" si="42"/>
        <v>387083.97185574553</v>
      </c>
      <c r="AG117" s="53">
        <f t="shared" si="43"/>
        <v>387083.97185574553</v>
      </c>
      <c r="AI117" s="74">
        <f>($A117=Esc_6c!D$9)*Z117/(12*_xlfn.XLOOKUP(AI$15,sexo_cnu,cnu))</f>
        <v>0</v>
      </c>
      <c r="AJ117" s="74">
        <f>($A117=Esc_6c!E$9)*AA117/(12*_xlfn.XLOOKUP(AJ$15,sexo_cnu,cnu))</f>
        <v>0</v>
      </c>
      <c r="AK117" s="74">
        <f>($A117=Esc_6c!D$9)*AB117/(12*_xlfn.XLOOKUP(AK$15,sexo_cnu,cnu))</f>
        <v>0</v>
      </c>
      <c r="AL117" s="74">
        <f>($A117=Esc_6c!E$9)*AC117/(12*_xlfn.XLOOKUP(AL$15,sexo_cnu,cnu))</f>
        <v>0</v>
      </c>
      <c r="AM117" s="53">
        <f>($A117=Esc_6c!D$9)*V117/(12*_xlfn.XLOOKUP(AM$15,sexo_cnu,cnu_noc))</f>
        <v>0</v>
      </c>
      <c r="AN117" s="53">
        <f>($A117=Esc_6c!E$9)*W117/(12*_xlfn.XLOOKUP(AN$15,sexo_cnu,cnu_noc))</f>
        <v>0</v>
      </c>
      <c r="AO117" s="53">
        <f>($A117=Esc_6c!D$9)*X117/(12*_xlfn.XLOOKUP(AO$15,sexo_cnu,cnu_noc))</f>
        <v>0</v>
      </c>
      <c r="AP117" s="53">
        <f>($A117=Esc_6c!E$9)*Y117/(12*_xlfn.XLOOKUP(AP$15,sexo_cnu,cnu_noc))</f>
        <v>0</v>
      </c>
      <c r="AQ117" s="53">
        <f>($A117=Esc_6c!E$9)*AD117/(12*_xlfn.XLOOKUP(AQ$15,sexo_cnu,cnu_noc))</f>
        <v>0</v>
      </c>
      <c r="AR117" s="53">
        <f>($A117=Esc_6c!E$9)*AE117/(12*_xlfn.XLOOKUP(AR$15,sexo_cnu,cnu_noc))</f>
        <v>0</v>
      </c>
      <c r="AS117" s="53">
        <f>($A117=Esc_6c!D$9)*AF117/(12*_xlfn.XLOOKUP(AS$15,sexo_cnu,cnu_noc))</f>
        <v>0</v>
      </c>
      <c r="AT117" s="53">
        <f>($A117=Esc_6c!E$9)*AG117/(12*_xlfn.XLOOKUP(AT$15,sexo_cnu,cnu_noc))</f>
        <v>0</v>
      </c>
      <c r="AU117" s="39"/>
      <c r="AV117" s="39"/>
    </row>
    <row r="118" spans="1:48" x14ac:dyDescent="0.25">
      <c r="A118" s="30">
        <v>2083</v>
      </c>
      <c r="B118" s="33">
        <f>w_uf*UF*Parámetros!C105</f>
        <v>1789803.4156820369</v>
      </c>
      <c r="C118" s="30">
        <f t="shared" si="50"/>
        <v>104</v>
      </c>
      <c r="D118" s="30">
        <f>((A118=Inputs!$C$12)*(Inputs!$D$12) + (A118=Inputs!$C$13)*(Inputs!$D$13) + (A118=Inputs!$C$14)*(Inputs!$D$14)) *(A118 &gt;= a_afil)*(A118&gt;=2024)</f>
        <v>0</v>
      </c>
      <c r="E118" s="30">
        <f>MIN(1,(A118=Inputs!$C$19)*Inputs!$D$19+(A118=Inputs!$C$20)*Inputs!$D$20+(A118=Inputs!$C$21)*Inputs!$D$21*(A118 &gt;= a_afil))</f>
        <v>0</v>
      </c>
      <c r="F118" s="30">
        <f t="shared" si="51"/>
        <v>0</v>
      </c>
      <c r="G118" s="30">
        <f t="shared" si="52"/>
        <v>0</v>
      </c>
      <c r="H118" s="30">
        <v>0.51719242334365845</v>
      </c>
      <c r="I118" s="37">
        <f t="shared" si="40"/>
        <v>0</v>
      </c>
      <c r="J118" s="37">
        <f t="shared" si="41"/>
        <v>0</v>
      </c>
      <c r="K118" s="30">
        <f>1*OR(Inputs!$D$17=$A118,Inputs!$E$17=$A118)*($E118=0)*(F118=1)</f>
        <v>0</v>
      </c>
      <c r="L118" s="30">
        <f>1*OR(Inputs!$D$17=$A118,Inputs!$E$17=$A118)*($E118=0)*(G118=1)</f>
        <v>0</v>
      </c>
      <c r="M118" s="73">
        <f t="shared" si="48"/>
        <v>0</v>
      </c>
      <c r="N118" s="73">
        <f t="shared" si="49"/>
        <v>0</v>
      </c>
      <c r="O118" s="55">
        <f>MIN(Parámetros!$E105, _xlfn.XLOOKUP($A118,agnos,tope_ref_col)*UF)*12*I118*$P$14</f>
        <v>0</v>
      </c>
      <c r="P118" s="55">
        <f>MIN(Parámetros!$E105, _xlfn.XLOOKUP($A118,agnos,tope_ref_col)*UF)*12*J118*$P$14</f>
        <v>0</v>
      </c>
      <c r="Q118" s="70">
        <f t="shared" si="53"/>
        <v>0</v>
      </c>
      <c r="R118" s="70">
        <f t="shared" si="54"/>
        <v>0</v>
      </c>
      <c r="S118" s="68">
        <f t="shared" si="44"/>
        <v>0</v>
      </c>
      <c r="T118" s="68">
        <f t="shared" si="45"/>
        <v>0</v>
      </c>
      <c r="U118" s="38"/>
      <c r="V118" s="55">
        <f>IF($A118&gt;Esc_6c!D$9,0,M118*alpha  +V117*(1+i_noc))</f>
        <v>0</v>
      </c>
      <c r="W118" s="55">
        <f>IF($A118&gt;Esc_6c!E$9,0,N118*alpha  +W117*(1+i_noc))</f>
        <v>0</v>
      </c>
      <c r="X118" s="55">
        <f>IF($A118&gt;Esc_6c!D$9,0,O118*(1-alpha)+X117*(1+i_noc))</f>
        <v>0</v>
      </c>
      <c r="Y118" s="55">
        <f>IF($A118&gt;Esc_6c!E$9,0,P118*(1-alpha)+Y117*(1+i_noc))</f>
        <v>0</v>
      </c>
      <c r="Z118" s="54">
        <f t="shared" si="55"/>
        <v>0</v>
      </c>
      <c r="AA118" s="54">
        <f t="shared" si="56"/>
        <v>0</v>
      </c>
      <c r="AB118" s="55">
        <f t="shared" si="46"/>
        <v>0</v>
      </c>
      <c r="AC118" s="55">
        <f t="shared" si="47"/>
        <v>0</v>
      </c>
      <c r="AD118" s="53">
        <f>D118*mmater*Parámetros!$G105*$W$14+AD117*(1+i_noc)</f>
        <v>0</v>
      </c>
      <c r="AE118" s="53">
        <f>E118*12*Parámetros!$F105*$W$14+AE117*(1+i_noc)</f>
        <v>3712520.5190042718</v>
      </c>
      <c r="AF118" s="53">
        <f t="shared" si="42"/>
        <v>394825.65129286045</v>
      </c>
      <c r="AG118" s="53">
        <f t="shared" si="43"/>
        <v>394825.65129286045</v>
      </c>
      <c r="AI118" s="74">
        <f>($A118=Esc_6c!D$9)*Z118/(12*_xlfn.XLOOKUP(AI$15,sexo_cnu,cnu))</f>
        <v>0</v>
      </c>
      <c r="AJ118" s="74">
        <f>($A118=Esc_6c!E$9)*AA118/(12*_xlfn.XLOOKUP(AJ$15,sexo_cnu,cnu))</f>
        <v>0</v>
      </c>
      <c r="AK118" s="74">
        <f>($A118=Esc_6c!D$9)*AB118/(12*_xlfn.XLOOKUP(AK$15,sexo_cnu,cnu))</f>
        <v>0</v>
      </c>
      <c r="AL118" s="74">
        <f>($A118=Esc_6c!E$9)*AC118/(12*_xlfn.XLOOKUP(AL$15,sexo_cnu,cnu))</f>
        <v>0</v>
      </c>
      <c r="AM118" s="53">
        <f>($A118=Esc_6c!D$9)*V118/(12*_xlfn.XLOOKUP(AM$15,sexo_cnu,cnu_noc))</f>
        <v>0</v>
      </c>
      <c r="AN118" s="53">
        <f>($A118=Esc_6c!E$9)*W118/(12*_xlfn.XLOOKUP(AN$15,sexo_cnu,cnu_noc))</f>
        <v>0</v>
      </c>
      <c r="AO118" s="53">
        <f>($A118=Esc_6c!D$9)*X118/(12*_xlfn.XLOOKUP(AO$15,sexo_cnu,cnu_noc))</f>
        <v>0</v>
      </c>
      <c r="AP118" s="53">
        <f>($A118=Esc_6c!E$9)*Y118/(12*_xlfn.XLOOKUP(AP$15,sexo_cnu,cnu_noc))</f>
        <v>0</v>
      </c>
      <c r="AQ118" s="53">
        <f>($A118=Esc_6c!E$9)*AD118/(12*_xlfn.XLOOKUP(AQ$15,sexo_cnu,cnu_noc))</f>
        <v>0</v>
      </c>
      <c r="AR118" s="53">
        <f>($A118=Esc_6c!E$9)*AE118/(12*_xlfn.XLOOKUP(AR$15,sexo_cnu,cnu_noc))</f>
        <v>0</v>
      </c>
      <c r="AS118" s="53">
        <f>($A118=Esc_6c!D$9)*AF118/(12*_xlfn.XLOOKUP(AS$15,sexo_cnu,cnu_noc))</f>
        <v>0</v>
      </c>
      <c r="AT118" s="53">
        <f>($A118=Esc_6c!E$9)*AG118/(12*_xlfn.XLOOKUP(AT$15,sexo_cnu,cnu_noc))</f>
        <v>0</v>
      </c>
      <c r="AU118" s="39"/>
      <c r="AV118" s="39"/>
    </row>
    <row r="119" spans="1:48" x14ac:dyDescent="0.25">
      <c r="A119" s="30">
        <v>2084</v>
      </c>
      <c r="B119" s="33">
        <f>w_uf*UF*Parámetros!C106</f>
        <v>1812175.9583780621</v>
      </c>
      <c r="C119" s="30">
        <f t="shared" si="50"/>
        <v>105</v>
      </c>
      <c r="D119" s="30">
        <f>((A119=Inputs!$C$12)*(Inputs!$D$12) + (A119=Inputs!$C$13)*(Inputs!$D$13) + (A119=Inputs!$C$14)*(Inputs!$D$14)) *(A119 &gt;= a_afil)*(A119&gt;=2024)</f>
        <v>0</v>
      </c>
      <c r="E119" s="30">
        <f>MIN(1,(A119=Inputs!$C$19)*Inputs!$D$19+(A119=Inputs!$C$20)*Inputs!$D$20+(A119=Inputs!$C$21)*Inputs!$D$21*(A119 &gt;= a_afil))</f>
        <v>0</v>
      </c>
      <c r="F119" s="30">
        <f t="shared" si="51"/>
        <v>0</v>
      </c>
      <c r="G119" s="30">
        <f t="shared" si="52"/>
        <v>0</v>
      </c>
      <c r="H119" s="30">
        <v>0.33030080795288086</v>
      </c>
      <c r="I119" s="37">
        <f t="shared" si="40"/>
        <v>0</v>
      </c>
      <c r="J119" s="37">
        <f t="shared" si="41"/>
        <v>0</v>
      </c>
      <c r="K119" s="30">
        <f>1*OR(Inputs!$D$17=$A119,Inputs!$E$17=$A119)*($E119=0)*(F119=1)</f>
        <v>0</v>
      </c>
      <c r="L119" s="30">
        <f>1*OR(Inputs!$D$17=$A119,Inputs!$E$17=$A119)*($E119=0)*(G119=1)</f>
        <v>0</v>
      </c>
      <c r="M119" s="73">
        <f t="shared" si="48"/>
        <v>0</v>
      </c>
      <c r="N119" s="73">
        <f t="shared" si="49"/>
        <v>0</v>
      </c>
      <c r="O119" s="55">
        <f>MIN(Parámetros!$E106, _xlfn.XLOOKUP($A119,agnos,tope_ref_col)*UF)*12*I119*$P$14</f>
        <v>0</v>
      </c>
      <c r="P119" s="55">
        <f>MIN(Parámetros!$E106, _xlfn.XLOOKUP($A119,agnos,tope_ref_col)*UF)*12*J119*$P$14</f>
        <v>0</v>
      </c>
      <c r="Q119" s="70">
        <f t="shared" si="53"/>
        <v>0</v>
      </c>
      <c r="R119" s="70">
        <f t="shared" si="54"/>
        <v>0</v>
      </c>
      <c r="S119" s="68">
        <f t="shared" si="44"/>
        <v>0</v>
      </c>
      <c r="T119" s="68">
        <f t="shared" si="45"/>
        <v>0</v>
      </c>
      <c r="U119" s="38"/>
      <c r="V119" s="55">
        <f>IF($A119&gt;Esc_6c!D$9,0,M119*alpha  +V118*(1+i_noc))</f>
        <v>0</v>
      </c>
      <c r="W119" s="55">
        <f>IF($A119&gt;Esc_6c!E$9,0,N119*alpha  +W118*(1+i_noc))</f>
        <v>0</v>
      </c>
      <c r="X119" s="55">
        <f>IF($A119&gt;Esc_6c!D$9,0,O119*(1-alpha)+X118*(1+i_noc))</f>
        <v>0</v>
      </c>
      <c r="Y119" s="55">
        <f>IF($A119&gt;Esc_6c!E$9,0,P119*(1-alpha)+Y118*(1+i_noc))</f>
        <v>0</v>
      </c>
      <c r="Z119" s="54">
        <f t="shared" si="55"/>
        <v>0</v>
      </c>
      <c r="AA119" s="54">
        <f t="shared" si="56"/>
        <v>0</v>
      </c>
      <c r="AB119" s="55">
        <f t="shared" si="46"/>
        <v>0</v>
      </c>
      <c r="AC119" s="55">
        <f t="shared" si="47"/>
        <v>0</v>
      </c>
      <c r="AD119" s="53">
        <f>D119*mmater*Parámetros!$G106*$W$14+AD118*(1+i_noc)</f>
        <v>0</v>
      </c>
      <c r="AE119" s="53">
        <f>E119*12*Parámetros!$F106*$W$14+AE118*(1+i_noc)</f>
        <v>3786770.9293843573</v>
      </c>
      <c r="AF119" s="53">
        <f t="shared" si="42"/>
        <v>402722.16431871767</v>
      </c>
      <c r="AG119" s="53">
        <f t="shared" si="43"/>
        <v>402722.16431871767</v>
      </c>
      <c r="AI119" s="74">
        <f>($A119=Esc_6c!D$9)*Z119/(12*_xlfn.XLOOKUP(AI$15,sexo_cnu,cnu))</f>
        <v>0</v>
      </c>
      <c r="AJ119" s="74">
        <f>($A119=Esc_6c!E$9)*AA119/(12*_xlfn.XLOOKUP(AJ$15,sexo_cnu,cnu))</f>
        <v>0</v>
      </c>
      <c r="AK119" s="74">
        <f>($A119=Esc_6c!D$9)*AB119/(12*_xlfn.XLOOKUP(AK$15,sexo_cnu,cnu))</f>
        <v>0</v>
      </c>
      <c r="AL119" s="74">
        <f>($A119=Esc_6c!E$9)*AC119/(12*_xlfn.XLOOKUP(AL$15,sexo_cnu,cnu))</f>
        <v>0</v>
      </c>
      <c r="AM119" s="53">
        <f>($A119=Esc_6c!D$9)*V119/(12*_xlfn.XLOOKUP(AM$15,sexo_cnu,cnu_noc))</f>
        <v>0</v>
      </c>
      <c r="AN119" s="53">
        <f>($A119=Esc_6c!E$9)*W119/(12*_xlfn.XLOOKUP(AN$15,sexo_cnu,cnu_noc))</f>
        <v>0</v>
      </c>
      <c r="AO119" s="53">
        <f>($A119=Esc_6c!D$9)*X119/(12*_xlfn.XLOOKUP(AO$15,sexo_cnu,cnu_noc))</f>
        <v>0</v>
      </c>
      <c r="AP119" s="53">
        <f>($A119=Esc_6c!E$9)*Y119/(12*_xlfn.XLOOKUP(AP$15,sexo_cnu,cnu_noc))</f>
        <v>0</v>
      </c>
      <c r="AQ119" s="53">
        <f>($A119=Esc_6c!E$9)*AD119/(12*_xlfn.XLOOKUP(AQ$15,sexo_cnu,cnu_noc))</f>
        <v>0</v>
      </c>
      <c r="AR119" s="53">
        <f>($A119=Esc_6c!E$9)*AE119/(12*_xlfn.XLOOKUP(AR$15,sexo_cnu,cnu_noc))</f>
        <v>0</v>
      </c>
      <c r="AS119" s="53">
        <f>($A119=Esc_6c!D$9)*AF119/(12*_xlfn.XLOOKUP(AS$15,sexo_cnu,cnu_noc))</f>
        <v>0</v>
      </c>
      <c r="AT119" s="53">
        <f>($A119=Esc_6c!E$9)*AG119/(12*_xlfn.XLOOKUP(AT$15,sexo_cnu,cnu_noc))</f>
        <v>0</v>
      </c>
      <c r="AU119" s="39"/>
      <c r="AV119" s="39"/>
    </row>
    <row r="120" spans="1:48" x14ac:dyDescent="0.25">
      <c r="A120" s="30">
        <v>2085</v>
      </c>
      <c r="B120" s="33">
        <f>w_uf*UF*Parámetros!C107</f>
        <v>1834828.157857788</v>
      </c>
      <c r="C120" s="30">
        <f t="shared" si="50"/>
        <v>106</v>
      </c>
      <c r="D120" s="30">
        <f>((A120=Inputs!$C$12)*(Inputs!$D$12) + (A120=Inputs!$C$13)*(Inputs!$D$13) + (A120=Inputs!$C$14)*(Inputs!$D$14)) *(A120 &gt;= a_afil)*(A120&gt;=2024)</f>
        <v>0</v>
      </c>
      <c r="E120" s="30">
        <f>MIN(1,(A120=Inputs!$C$19)*Inputs!$D$19+(A120=Inputs!$C$20)*Inputs!$D$20+(A120=Inputs!$C$21)*Inputs!$D$21*(A120 &gt;= a_afil))</f>
        <v>0</v>
      </c>
      <c r="F120" s="30">
        <f t="shared" si="51"/>
        <v>0</v>
      </c>
      <c r="G120" s="30">
        <f t="shared" si="52"/>
        <v>0</v>
      </c>
      <c r="H120" s="30">
        <v>0.86845368146896362</v>
      </c>
      <c r="I120" s="37">
        <f t="shared" si="40"/>
        <v>0</v>
      </c>
      <c r="J120" s="37">
        <f t="shared" si="41"/>
        <v>0</v>
      </c>
      <c r="K120" s="30">
        <f>1*OR(Inputs!$D$17=$A120,Inputs!$E$17=$A120)*($E120=0)*(F120=1)</f>
        <v>0</v>
      </c>
      <c r="L120" s="30">
        <f>1*OR(Inputs!$D$17=$A120,Inputs!$E$17=$A120)*($E120=0)*(G120=1)</f>
        <v>0</v>
      </c>
      <c r="M120" s="73">
        <f t="shared" si="48"/>
        <v>0</v>
      </c>
      <c r="N120" s="73">
        <f t="shared" si="49"/>
        <v>0</v>
      </c>
      <c r="O120" s="55">
        <f>MIN(Parámetros!$E107, _xlfn.XLOOKUP($A120,agnos,tope_ref_col)*UF)*12*I120*$P$14</f>
        <v>0</v>
      </c>
      <c r="P120" s="55">
        <f>MIN(Parámetros!$E107, _xlfn.XLOOKUP($A120,agnos,tope_ref_col)*UF)*12*J120*$P$14</f>
        <v>0</v>
      </c>
      <c r="Q120" s="70">
        <f t="shared" si="53"/>
        <v>0</v>
      </c>
      <c r="R120" s="70">
        <f t="shared" si="54"/>
        <v>0</v>
      </c>
      <c r="S120" s="68">
        <f t="shared" si="44"/>
        <v>0</v>
      </c>
      <c r="T120" s="68">
        <f t="shared" si="45"/>
        <v>0</v>
      </c>
      <c r="U120" s="38"/>
      <c r="V120" s="55">
        <f>IF($A120&gt;Esc_6c!D$9,0,M120*alpha  +V119*(1+i_noc))</f>
        <v>0</v>
      </c>
      <c r="W120" s="55">
        <f>IF($A120&gt;Esc_6c!E$9,0,N120*alpha  +W119*(1+i_noc))</f>
        <v>0</v>
      </c>
      <c r="X120" s="55">
        <f>IF($A120&gt;Esc_6c!D$9,0,O120*(1-alpha)+X119*(1+i_noc))</f>
        <v>0</v>
      </c>
      <c r="Y120" s="55">
        <f>IF($A120&gt;Esc_6c!E$9,0,P120*(1-alpha)+Y119*(1+i_noc))</f>
        <v>0</v>
      </c>
      <c r="Z120" s="54">
        <f t="shared" si="55"/>
        <v>0</v>
      </c>
      <c r="AA120" s="54">
        <f t="shared" si="56"/>
        <v>0</v>
      </c>
      <c r="AB120" s="55">
        <f t="shared" si="46"/>
        <v>0</v>
      </c>
      <c r="AC120" s="55">
        <f t="shared" si="47"/>
        <v>0</v>
      </c>
      <c r="AD120" s="53">
        <f>D120*mmater*Parámetros!$G107*$W$14+AD119*(1+i_noc)</f>
        <v>0</v>
      </c>
      <c r="AE120" s="53">
        <f>E120*12*Parámetros!$F107*$W$14+AE119*(1+i_noc)</f>
        <v>3862506.3479720447</v>
      </c>
      <c r="AF120" s="53">
        <f t="shared" si="42"/>
        <v>410776.60760509205</v>
      </c>
      <c r="AG120" s="53">
        <f t="shared" si="43"/>
        <v>410776.60760509205</v>
      </c>
      <c r="AI120" s="74">
        <f>($A120=Esc_6c!D$9)*Z120/(12*_xlfn.XLOOKUP(AI$15,sexo_cnu,cnu))</f>
        <v>0</v>
      </c>
      <c r="AJ120" s="74">
        <f>($A120=Esc_6c!E$9)*AA120/(12*_xlfn.XLOOKUP(AJ$15,sexo_cnu,cnu))</f>
        <v>0</v>
      </c>
      <c r="AK120" s="74">
        <f>($A120=Esc_6c!D$9)*AB120/(12*_xlfn.XLOOKUP(AK$15,sexo_cnu,cnu))</f>
        <v>0</v>
      </c>
      <c r="AL120" s="74">
        <f>($A120=Esc_6c!E$9)*AC120/(12*_xlfn.XLOOKUP(AL$15,sexo_cnu,cnu))</f>
        <v>0</v>
      </c>
      <c r="AM120" s="53">
        <f>($A120=Esc_6c!D$9)*V120/(12*_xlfn.XLOOKUP(AM$15,sexo_cnu,cnu_noc))</f>
        <v>0</v>
      </c>
      <c r="AN120" s="53">
        <f>($A120=Esc_6c!E$9)*W120/(12*_xlfn.XLOOKUP(AN$15,sexo_cnu,cnu_noc))</f>
        <v>0</v>
      </c>
      <c r="AO120" s="53">
        <f>($A120=Esc_6c!D$9)*X120/(12*_xlfn.XLOOKUP(AO$15,sexo_cnu,cnu_noc))</f>
        <v>0</v>
      </c>
      <c r="AP120" s="53">
        <f>($A120=Esc_6c!E$9)*Y120/(12*_xlfn.XLOOKUP(AP$15,sexo_cnu,cnu_noc))</f>
        <v>0</v>
      </c>
      <c r="AQ120" s="53">
        <f>($A120=Esc_6c!E$9)*AD120/(12*_xlfn.XLOOKUP(AQ$15,sexo_cnu,cnu_noc))</f>
        <v>0</v>
      </c>
      <c r="AR120" s="53">
        <f>($A120=Esc_6c!E$9)*AE120/(12*_xlfn.XLOOKUP(AR$15,sexo_cnu,cnu_noc))</f>
        <v>0</v>
      </c>
      <c r="AS120" s="53">
        <f>($A120=Esc_6c!D$9)*AF120/(12*_xlfn.XLOOKUP(AS$15,sexo_cnu,cnu_noc))</f>
        <v>0</v>
      </c>
      <c r="AT120" s="53">
        <f>($A120=Esc_6c!E$9)*AG120/(12*_xlfn.XLOOKUP(AT$15,sexo_cnu,cnu_noc))</f>
        <v>0</v>
      </c>
      <c r="AU120" s="39"/>
      <c r="AV120" s="39"/>
    </row>
    <row r="121" spans="1:48" x14ac:dyDescent="0.25">
      <c r="A121" s="30">
        <v>2086</v>
      </c>
      <c r="B121" s="33">
        <f>w_uf*UF*Parámetros!C108</f>
        <v>1857763.5098310101</v>
      </c>
      <c r="C121" s="30">
        <f t="shared" si="50"/>
        <v>107</v>
      </c>
      <c r="D121" s="30">
        <f>((A121=Inputs!$C$12)*(Inputs!$D$12) + (A121=Inputs!$C$13)*(Inputs!$D$13) + (A121=Inputs!$C$14)*(Inputs!$D$14)) *(A121 &gt;= a_afil)*(A121&gt;=2024)</f>
        <v>0</v>
      </c>
      <c r="E121" s="30">
        <f>MIN(1,(A121=Inputs!$C$19)*Inputs!$D$19+(A121=Inputs!$C$20)*Inputs!$D$20+(A121=Inputs!$C$21)*Inputs!$D$21*(A121 &gt;= a_afil))</f>
        <v>0</v>
      </c>
      <c r="F121" s="30">
        <f t="shared" si="51"/>
        <v>0</v>
      </c>
      <c r="G121" s="30">
        <f t="shared" si="52"/>
        <v>0</v>
      </c>
      <c r="H121" s="30">
        <v>0.25906097888946533</v>
      </c>
      <c r="I121" s="37">
        <f t="shared" si="40"/>
        <v>0</v>
      </c>
      <c r="J121" s="37">
        <f t="shared" si="41"/>
        <v>0</v>
      </c>
      <c r="K121" s="30">
        <f>1*OR(Inputs!$D$17=$A121,Inputs!$E$17=$A121)*($E121=0)*(F121=1)</f>
        <v>0</v>
      </c>
      <c r="L121" s="30">
        <f>1*OR(Inputs!$D$17=$A121,Inputs!$E$17=$A121)*($E121=0)*(G121=1)</f>
        <v>0</v>
      </c>
      <c r="M121" s="73">
        <f t="shared" si="48"/>
        <v>0</v>
      </c>
      <c r="N121" s="73">
        <f t="shared" si="49"/>
        <v>0</v>
      </c>
      <c r="O121" s="55">
        <f>MIN(Parámetros!$E108, _xlfn.XLOOKUP($A121,agnos,tope_ref_col)*UF)*12*I121*$P$14</f>
        <v>0</v>
      </c>
      <c r="P121" s="55">
        <f>MIN(Parámetros!$E108, _xlfn.XLOOKUP($A121,agnos,tope_ref_col)*UF)*12*J121*$P$14</f>
        <v>0</v>
      </c>
      <c r="Q121" s="70">
        <f t="shared" si="53"/>
        <v>0</v>
      </c>
      <c r="R121" s="70">
        <f t="shared" si="54"/>
        <v>0</v>
      </c>
      <c r="S121" s="68">
        <f t="shared" si="44"/>
        <v>0</v>
      </c>
      <c r="T121" s="68">
        <f t="shared" si="45"/>
        <v>0</v>
      </c>
      <c r="U121" s="38"/>
      <c r="V121" s="55">
        <f>IF($A121&gt;Esc_6c!D$9,0,M121*alpha  +V120*(1+i_noc))</f>
        <v>0</v>
      </c>
      <c r="W121" s="55">
        <f>IF($A121&gt;Esc_6c!E$9,0,N121*alpha  +W120*(1+i_noc))</f>
        <v>0</v>
      </c>
      <c r="X121" s="55">
        <f>IF($A121&gt;Esc_6c!D$9,0,O121*(1-alpha)+X120*(1+i_noc))</f>
        <v>0</v>
      </c>
      <c r="Y121" s="55">
        <f>IF($A121&gt;Esc_6c!E$9,0,P121*(1-alpha)+Y120*(1+i_noc))</f>
        <v>0</v>
      </c>
      <c r="Z121" s="54">
        <f t="shared" si="55"/>
        <v>0</v>
      </c>
      <c r="AA121" s="54">
        <f t="shared" si="56"/>
        <v>0</v>
      </c>
      <c r="AB121" s="55">
        <f t="shared" si="46"/>
        <v>0</v>
      </c>
      <c r="AC121" s="55">
        <f t="shared" si="47"/>
        <v>0</v>
      </c>
      <c r="AD121" s="53">
        <f>D121*mmater*Parámetros!$G108*$W$14+AD120*(1+i_noc)</f>
        <v>0</v>
      </c>
      <c r="AE121" s="53">
        <f>E121*12*Parámetros!$F108*$W$14+AE120*(1+i_noc)</f>
        <v>3939756.4749314855</v>
      </c>
      <c r="AF121" s="53">
        <f t="shared" si="42"/>
        <v>418992.13975719392</v>
      </c>
      <c r="AG121" s="53">
        <f t="shared" si="43"/>
        <v>418992.13975719392</v>
      </c>
      <c r="AI121" s="74">
        <f>($A121=Esc_6c!D$9)*Z121/(12*_xlfn.XLOOKUP(AI$15,sexo_cnu,cnu))</f>
        <v>0</v>
      </c>
      <c r="AJ121" s="74">
        <f>($A121=Esc_6c!E$9)*AA121/(12*_xlfn.XLOOKUP(AJ$15,sexo_cnu,cnu))</f>
        <v>0</v>
      </c>
      <c r="AK121" s="74">
        <f>($A121=Esc_6c!D$9)*AB121/(12*_xlfn.XLOOKUP(AK$15,sexo_cnu,cnu))</f>
        <v>0</v>
      </c>
      <c r="AL121" s="74">
        <f>($A121=Esc_6c!E$9)*AC121/(12*_xlfn.XLOOKUP(AL$15,sexo_cnu,cnu))</f>
        <v>0</v>
      </c>
      <c r="AM121" s="53">
        <f>($A121=Esc_6c!D$9)*V121/(12*_xlfn.XLOOKUP(AM$15,sexo_cnu,cnu_noc))</f>
        <v>0</v>
      </c>
      <c r="AN121" s="53">
        <f>($A121=Esc_6c!E$9)*W121/(12*_xlfn.XLOOKUP(AN$15,sexo_cnu,cnu_noc))</f>
        <v>0</v>
      </c>
      <c r="AO121" s="53">
        <f>($A121=Esc_6c!D$9)*X121/(12*_xlfn.XLOOKUP(AO$15,sexo_cnu,cnu_noc))</f>
        <v>0</v>
      </c>
      <c r="AP121" s="53">
        <f>($A121=Esc_6c!E$9)*Y121/(12*_xlfn.XLOOKUP(AP$15,sexo_cnu,cnu_noc))</f>
        <v>0</v>
      </c>
      <c r="AQ121" s="53">
        <f>($A121=Esc_6c!E$9)*AD121/(12*_xlfn.XLOOKUP(AQ$15,sexo_cnu,cnu_noc))</f>
        <v>0</v>
      </c>
      <c r="AR121" s="53">
        <f>($A121=Esc_6c!E$9)*AE121/(12*_xlfn.XLOOKUP(AR$15,sexo_cnu,cnu_noc))</f>
        <v>0</v>
      </c>
      <c r="AS121" s="53">
        <f>($A121=Esc_6c!D$9)*AF121/(12*_xlfn.XLOOKUP(AS$15,sexo_cnu,cnu_noc))</f>
        <v>0</v>
      </c>
      <c r="AT121" s="53">
        <f>($A121=Esc_6c!E$9)*AG121/(12*_xlfn.XLOOKUP(AT$15,sexo_cnu,cnu_noc))</f>
        <v>0</v>
      </c>
      <c r="AU121" s="39"/>
      <c r="AV121" s="39"/>
    </row>
    <row r="122" spans="1:48" x14ac:dyDescent="0.25">
      <c r="A122" s="30">
        <v>2087</v>
      </c>
      <c r="B122" s="33">
        <f>w_uf*UF*Parámetros!C109</f>
        <v>1880985.5537038976</v>
      </c>
      <c r="C122" s="30">
        <f t="shared" si="50"/>
        <v>108</v>
      </c>
      <c r="D122" s="30">
        <f>((A122=Inputs!$C$12)*(Inputs!$D$12) + (A122=Inputs!$C$13)*(Inputs!$D$13) + (A122=Inputs!$C$14)*(Inputs!$D$14)) *(A122 &gt;= a_afil)*(A122&gt;=2024)</f>
        <v>0</v>
      </c>
      <c r="E122" s="30">
        <f>MIN(1,(A122=Inputs!$C$19)*Inputs!$D$19+(A122=Inputs!$C$20)*Inputs!$D$20+(A122=Inputs!$C$21)*Inputs!$D$21*(A122 &gt;= a_afil))</f>
        <v>0</v>
      </c>
      <c r="F122" s="30">
        <f t="shared" si="51"/>
        <v>0</v>
      </c>
      <c r="G122" s="30">
        <f t="shared" si="52"/>
        <v>0</v>
      </c>
      <c r="H122" s="30">
        <v>0.25954133272171021</v>
      </c>
      <c r="I122" s="37">
        <f t="shared" ref="I122:I134" si="57">IF(F122=1,+dens_cot,0)</f>
        <v>0</v>
      </c>
      <c r="J122" s="37">
        <f t="shared" ref="J122:J134" si="58">IF(G122=1,+dens_mujer,0)</f>
        <v>0</v>
      </c>
      <c r="K122" s="30">
        <f>1*OR(Inputs!$D$17=$A122,Inputs!$E$17=$A122)*($E122=0)*(F122=1)</f>
        <v>0</v>
      </c>
      <c r="L122" s="30">
        <f>1*OR(Inputs!$D$17=$A122,Inputs!$E$17=$A122)*($E122=0)*(G122=1)</f>
        <v>0</v>
      </c>
      <c r="M122" s="73">
        <f t="shared" si="48"/>
        <v>0</v>
      </c>
      <c r="N122" s="73">
        <f t="shared" si="49"/>
        <v>0</v>
      </c>
      <c r="O122" s="55">
        <f>MIN(Parámetros!$E109, _xlfn.XLOOKUP($A122,agnos,tope_ref_col)*UF)*12*I122*$P$14</f>
        <v>0</v>
      </c>
      <c r="P122" s="55">
        <f>MIN(Parámetros!$E109, _xlfn.XLOOKUP($A122,agnos,tope_ref_col)*UF)*12*J122*$P$14</f>
        <v>0</v>
      </c>
      <c r="Q122" s="70">
        <f t="shared" si="53"/>
        <v>0</v>
      </c>
      <c r="R122" s="70">
        <f t="shared" si="54"/>
        <v>0</v>
      </c>
      <c r="S122" s="68">
        <f t="shared" si="44"/>
        <v>0</v>
      </c>
      <c r="T122" s="68">
        <f t="shared" si="45"/>
        <v>0</v>
      </c>
      <c r="U122" s="38"/>
      <c r="V122" s="55">
        <f>IF($A122&gt;Esc_6c!D$9,0,M122*alpha  +V121*(1+i_noc))</f>
        <v>0</v>
      </c>
      <c r="W122" s="55">
        <f>IF($A122&gt;Esc_6c!E$9,0,N122*alpha  +W121*(1+i_noc))</f>
        <v>0</v>
      </c>
      <c r="X122" s="55">
        <f>IF($A122&gt;Esc_6c!D$9,0,O122*(1-alpha)+X121*(1+i_noc))</f>
        <v>0</v>
      </c>
      <c r="Y122" s="55">
        <f>IF($A122&gt;Esc_6c!E$9,0,P122*(1-alpha)+Y121*(1+i_noc))</f>
        <v>0</v>
      </c>
      <c r="Z122" s="54">
        <f t="shared" si="55"/>
        <v>0</v>
      </c>
      <c r="AA122" s="54">
        <f t="shared" si="56"/>
        <v>0</v>
      </c>
      <c r="AB122" s="55">
        <f t="shared" si="46"/>
        <v>0</v>
      </c>
      <c r="AC122" s="55">
        <f t="shared" si="47"/>
        <v>0</v>
      </c>
      <c r="AD122" s="53">
        <f>D122*mmater*Parámetros!$G109*$W$14+AD121*(1+i_noc)</f>
        <v>0</v>
      </c>
      <c r="AE122" s="53">
        <f>E122*12*Parámetros!$F109*$W$14+AE121*(1+i_noc)</f>
        <v>4018551.6044301153</v>
      </c>
      <c r="AF122" s="53">
        <f t="shared" si="42"/>
        <v>427371.98255233781</v>
      </c>
      <c r="AG122" s="53">
        <f t="shared" si="43"/>
        <v>427371.98255233781</v>
      </c>
      <c r="AI122" s="74">
        <f>($A122=Esc_6c!D$9)*Z122/(12*_xlfn.XLOOKUP(AI$15,sexo_cnu,cnu))</f>
        <v>0</v>
      </c>
      <c r="AJ122" s="74">
        <f>($A122=Esc_6c!E$9)*AA122/(12*_xlfn.XLOOKUP(AJ$15,sexo_cnu,cnu))</f>
        <v>0</v>
      </c>
      <c r="AK122" s="74">
        <f>($A122=Esc_6c!D$9)*AB122/(12*_xlfn.XLOOKUP(AK$15,sexo_cnu,cnu))</f>
        <v>0</v>
      </c>
      <c r="AL122" s="74">
        <f>($A122=Esc_6c!E$9)*AC122/(12*_xlfn.XLOOKUP(AL$15,sexo_cnu,cnu))</f>
        <v>0</v>
      </c>
      <c r="AM122" s="53">
        <f>($A122=Esc_6c!D$9)*V122/(12*_xlfn.XLOOKUP(AM$15,sexo_cnu,cnu_noc))</f>
        <v>0</v>
      </c>
      <c r="AN122" s="53">
        <f>($A122=Esc_6c!E$9)*W122/(12*_xlfn.XLOOKUP(AN$15,sexo_cnu,cnu_noc))</f>
        <v>0</v>
      </c>
      <c r="AO122" s="53">
        <f>($A122=Esc_6c!D$9)*X122/(12*_xlfn.XLOOKUP(AO$15,sexo_cnu,cnu_noc))</f>
        <v>0</v>
      </c>
      <c r="AP122" s="53">
        <f>($A122=Esc_6c!E$9)*Y122/(12*_xlfn.XLOOKUP(AP$15,sexo_cnu,cnu_noc))</f>
        <v>0</v>
      </c>
      <c r="AQ122" s="53">
        <f>($A122=Esc_6c!E$9)*AD122/(12*_xlfn.XLOOKUP(AQ$15,sexo_cnu,cnu_noc))</f>
        <v>0</v>
      </c>
      <c r="AR122" s="53">
        <f>($A122=Esc_6c!E$9)*AE122/(12*_xlfn.XLOOKUP(AR$15,sexo_cnu,cnu_noc))</f>
        <v>0</v>
      </c>
      <c r="AS122" s="53">
        <f>($A122=Esc_6c!D$9)*AF122/(12*_xlfn.XLOOKUP(AS$15,sexo_cnu,cnu_noc))</f>
        <v>0</v>
      </c>
      <c r="AT122" s="53">
        <f>($A122=Esc_6c!E$9)*AG122/(12*_xlfn.XLOOKUP(AT$15,sexo_cnu,cnu_noc))</f>
        <v>0</v>
      </c>
      <c r="AU122" s="39"/>
      <c r="AV122" s="39"/>
    </row>
    <row r="123" spans="1:48" x14ac:dyDescent="0.25">
      <c r="A123" s="30">
        <v>2088</v>
      </c>
      <c r="B123" s="33">
        <f>w_uf*UF*Parámetros!C110</f>
        <v>1904497.8731251962</v>
      </c>
      <c r="C123" s="30">
        <f t="shared" si="50"/>
        <v>109</v>
      </c>
      <c r="D123" s="30">
        <f>((A123=Inputs!$C$12)*(Inputs!$D$12) + (A123=Inputs!$C$13)*(Inputs!$D$13) + (A123=Inputs!$C$14)*(Inputs!$D$14)) *(A123 &gt;= a_afil)*(A123&gt;=2024)</f>
        <v>0</v>
      </c>
      <c r="E123" s="30">
        <f>MIN(1,(A123=Inputs!$C$19)*Inputs!$D$19+(A123=Inputs!$C$20)*Inputs!$D$20+(A123=Inputs!$C$21)*Inputs!$D$21*(A123 &gt;= a_afil))</f>
        <v>0</v>
      </c>
      <c r="F123" s="30">
        <f t="shared" si="51"/>
        <v>0</v>
      </c>
      <c r="G123" s="30">
        <f t="shared" si="52"/>
        <v>0</v>
      </c>
      <c r="H123" s="30">
        <v>0.17869353294372559</v>
      </c>
      <c r="I123" s="37">
        <f t="shared" si="57"/>
        <v>0</v>
      </c>
      <c r="J123" s="37">
        <f t="shared" si="58"/>
        <v>0</v>
      </c>
      <c r="K123" s="30">
        <f>1*OR(Inputs!$D$17=$A123,Inputs!$E$17=$A123)*($E123=0)*(F123=1)</f>
        <v>0</v>
      </c>
      <c r="L123" s="30">
        <f>1*OR(Inputs!$D$17=$A123,Inputs!$E$17=$A123)*($E123=0)*(G123=1)</f>
        <v>0</v>
      </c>
      <c r="M123" s="73">
        <f t="shared" si="48"/>
        <v>0</v>
      </c>
      <c r="N123" s="73">
        <f t="shared" si="49"/>
        <v>0</v>
      </c>
      <c r="O123" s="55">
        <f>MIN(Parámetros!$E110, _xlfn.XLOOKUP($A123,agnos,tope_ref_col)*UF)*12*I123*$P$14</f>
        <v>0</v>
      </c>
      <c r="P123" s="55">
        <f>MIN(Parámetros!$E110, _xlfn.XLOOKUP($A123,agnos,tope_ref_col)*UF)*12*J123*$P$14</f>
        <v>0</v>
      </c>
      <c r="Q123" s="70">
        <f t="shared" si="53"/>
        <v>0</v>
      </c>
      <c r="R123" s="70">
        <f t="shared" si="54"/>
        <v>0</v>
      </c>
      <c r="S123" s="68">
        <f t="shared" si="44"/>
        <v>0</v>
      </c>
      <c r="T123" s="68">
        <f t="shared" si="45"/>
        <v>0</v>
      </c>
      <c r="U123" s="38"/>
      <c r="V123" s="55">
        <f>IF($A123&gt;Esc_6c!D$9,0,M123*alpha  +V122*(1+i_noc))</f>
        <v>0</v>
      </c>
      <c r="W123" s="55">
        <f>IF($A123&gt;Esc_6c!E$9,0,N123*alpha  +W122*(1+i_noc))</f>
        <v>0</v>
      </c>
      <c r="X123" s="55">
        <f>IF($A123&gt;Esc_6c!D$9,0,O123*(1-alpha)+X122*(1+i_noc))</f>
        <v>0</v>
      </c>
      <c r="Y123" s="55">
        <f>IF($A123&gt;Esc_6c!E$9,0,P123*(1-alpha)+Y122*(1+i_noc))</f>
        <v>0</v>
      </c>
      <c r="Z123" s="54">
        <f t="shared" si="55"/>
        <v>0</v>
      </c>
      <c r="AA123" s="54">
        <f t="shared" si="56"/>
        <v>0</v>
      </c>
      <c r="AB123" s="55">
        <f t="shared" si="46"/>
        <v>0</v>
      </c>
      <c r="AC123" s="55">
        <f t="shared" si="47"/>
        <v>0</v>
      </c>
      <c r="AD123" s="53">
        <f>D123*mmater*Parámetros!$G110*$W$14+AD122*(1+i_noc)</f>
        <v>0</v>
      </c>
      <c r="AE123" s="53">
        <f>E123*12*Parámetros!$F110*$W$14+AE122*(1+i_noc)</f>
        <v>4098922.6365187177</v>
      </c>
      <c r="AF123" s="53">
        <f t="shared" si="42"/>
        <v>435919.42220338457</v>
      </c>
      <c r="AG123" s="53">
        <f t="shared" si="43"/>
        <v>435919.42220338457</v>
      </c>
      <c r="AI123" s="74">
        <f>($A123=Esc_6c!D$9)*Z123/(12*_xlfn.XLOOKUP(AI$15,sexo_cnu,cnu))</f>
        <v>0</v>
      </c>
      <c r="AJ123" s="74">
        <f>($A123=Esc_6c!E$9)*AA123/(12*_xlfn.XLOOKUP(AJ$15,sexo_cnu,cnu))</f>
        <v>0</v>
      </c>
      <c r="AK123" s="74">
        <f>($A123=Esc_6c!D$9)*AB123/(12*_xlfn.XLOOKUP(AK$15,sexo_cnu,cnu))</f>
        <v>0</v>
      </c>
      <c r="AL123" s="74">
        <f>($A123=Esc_6c!E$9)*AC123/(12*_xlfn.XLOOKUP(AL$15,sexo_cnu,cnu))</f>
        <v>0</v>
      </c>
      <c r="AM123" s="53">
        <f>($A123=Esc_6c!D$9)*V123/(12*_xlfn.XLOOKUP(AM$15,sexo_cnu,cnu_noc))</f>
        <v>0</v>
      </c>
      <c r="AN123" s="53">
        <f>($A123=Esc_6c!E$9)*W123/(12*_xlfn.XLOOKUP(AN$15,sexo_cnu,cnu_noc))</f>
        <v>0</v>
      </c>
      <c r="AO123" s="53">
        <f>($A123=Esc_6c!D$9)*X123/(12*_xlfn.XLOOKUP(AO$15,sexo_cnu,cnu_noc))</f>
        <v>0</v>
      </c>
      <c r="AP123" s="53">
        <f>($A123=Esc_6c!E$9)*Y123/(12*_xlfn.XLOOKUP(AP$15,sexo_cnu,cnu_noc))</f>
        <v>0</v>
      </c>
      <c r="AQ123" s="53">
        <f>($A123=Esc_6c!E$9)*AD123/(12*_xlfn.XLOOKUP(AQ$15,sexo_cnu,cnu_noc))</f>
        <v>0</v>
      </c>
      <c r="AR123" s="53">
        <f>($A123=Esc_6c!E$9)*AE123/(12*_xlfn.XLOOKUP(AR$15,sexo_cnu,cnu_noc))</f>
        <v>0</v>
      </c>
      <c r="AS123" s="53">
        <f>($A123=Esc_6c!D$9)*AF123/(12*_xlfn.XLOOKUP(AS$15,sexo_cnu,cnu_noc))</f>
        <v>0</v>
      </c>
      <c r="AT123" s="53">
        <f>($A123=Esc_6c!E$9)*AG123/(12*_xlfn.XLOOKUP(AT$15,sexo_cnu,cnu_noc))</f>
        <v>0</v>
      </c>
      <c r="AU123" s="39"/>
      <c r="AV123" s="39"/>
    </row>
    <row r="124" spans="1:48" x14ac:dyDescent="0.25">
      <c r="A124" s="30">
        <v>2089</v>
      </c>
      <c r="B124" s="33">
        <f>w_uf*UF*Parámetros!C111</f>
        <v>1928304.0965392611</v>
      </c>
      <c r="C124" s="30">
        <f t="shared" si="50"/>
        <v>110</v>
      </c>
      <c r="D124" s="30">
        <f>((A124=Inputs!$C$12)*(Inputs!$D$12) + (A124=Inputs!$C$13)*(Inputs!$D$13) + (A124=Inputs!$C$14)*(Inputs!$D$14)) *(A124 &gt;= a_afil)*(A124&gt;=2024)</f>
        <v>0</v>
      </c>
      <c r="E124" s="30">
        <f>MIN(1,(A124=Inputs!$C$19)*Inputs!$D$19+(A124=Inputs!$C$20)*Inputs!$D$20+(A124=Inputs!$C$21)*Inputs!$D$21*(A124 &gt;= a_afil))</f>
        <v>0</v>
      </c>
      <c r="F124" s="30">
        <f t="shared" si="51"/>
        <v>0</v>
      </c>
      <c r="G124" s="30">
        <f t="shared" si="52"/>
        <v>0</v>
      </c>
      <c r="H124" s="30">
        <v>0.34695714712142944</v>
      </c>
      <c r="I124" s="37">
        <f t="shared" si="57"/>
        <v>0</v>
      </c>
      <c r="J124" s="37">
        <f t="shared" si="58"/>
        <v>0</v>
      </c>
      <c r="K124" s="30">
        <f>1*OR(Inputs!$D$17=$A124,Inputs!$E$17=$A124)*($E124=0)*(F124=1)</f>
        <v>0</v>
      </c>
      <c r="L124" s="30">
        <f>1*OR(Inputs!$D$17=$A124,Inputs!$E$17=$A124)*($E124=0)*(G124=1)</f>
        <v>0</v>
      </c>
      <c r="M124" s="73">
        <f t="shared" si="48"/>
        <v>0</v>
      </c>
      <c r="N124" s="73">
        <f t="shared" si="49"/>
        <v>0</v>
      </c>
      <c r="O124" s="55">
        <f>MIN(Parámetros!$E111, _xlfn.XLOOKUP($A124,agnos,tope_ref_col)*UF)*12*I124*$P$14</f>
        <v>0</v>
      </c>
      <c r="P124" s="55">
        <f>MIN(Parámetros!$E111, _xlfn.XLOOKUP($A124,agnos,tope_ref_col)*UF)*12*J124*$P$14</f>
        <v>0</v>
      </c>
      <c r="Q124" s="70">
        <f t="shared" si="53"/>
        <v>0</v>
      </c>
      <c r="R124" s="70">
        <f t="shared" si="54"/>
        <v>0</v>
      </c>
      <c r="S124" s="68">
        <f t="shared" si="44"/>
        <v>0</v>
      </c>
      <c r="T124" s="68">
        <f t="shared" si="45"/>
        <v>0</v>
      </c>
      <c r="U124" s="38"/>
      <c r="V124" s="55">
        <f>IF($A124&gt;Esc_6c!D$9,0,M124*alpha  +V123*(1+i_noc))</f>
        <v>0</v>
      </c>
      <c r="W124" s="55">
        <f>IF($A124&gt;Esc_6c!E$9,0,N124*alpha  +W123*(1+i_noc))</f>
        <v>0</v>
      </c>
      <c r="X124" s="55">
        <f>IF($A124&gt;Esc_6c!D$9,0,O124*(1-alpha)+X123*(1+i_noc))</f>
        <v>0</v>
      </c>
      <c r="Y124" s="55">
        <f>IF($A124&gt;Esc_6c!E$9,0,P124*(1-alpha)+Y123*(1+i_noc))</f>
        <v>0</v>
      </c>
      <c r="Z124" s="54">
        <f t="shared" si="55"/>
        <v>0</v>
      </c>
      <c r="AA124" s="54">
        <f t="shared" si="56"/>
        <v>0</v>
      </c>
      <c r="AB124" s="55">
        <f t="shared" si="46"/>
        <v>0</v>
      </c>
      <c r="AC124" s="55">
        <f t="shared" si="47"/>
        <v>0</v>
      </c>
      <c r="AD124" s="53">
        <f>D124*mmater*Parámetros!$G111*$W$14+AD123*(1+i_noc)</f>
        <v>0</v>
      </c>
      <c r="AE124" s="53">
        <f>E124*12*Parámetros!$F111*$W$14+AE123*(1+i_noc)</f>
        <v>4180901.0892490922</v>
      </c>
      <c r="AF124" s="53">
        <f t="shared" ref="AF124:AF135" si="59">IFERROR(K124*$B124*_xlfn.XLOOKUP(n_mes_laguna,giros_sc,tr_sc_acum)*$N$14,0)+AF123*(1+i_noc)</f>
        <v>444637.81064745225</v>
      </c>
      <c r="AG124" s="53">
        <f t="shared" ref="AG124:AG135" si="60">IFERROR(L124*$B124*_xlfn.XLOOKUP(n_mes_laguna,giros_sc,tr_sc_acum)*$N$14,0)+AG123*(1+i_noc)</f>
        <v>444637.81064745225</v>
      </c>
      <c r="AI124" s="74">
        <f>($A124=Esc_6c!D$9)*Z124/(12*_xlfn.XLOOKUP(AI$15,sexo_cnu,cnu))</f>
        <v>0</v>
      </c>
      <c r="AJ124" s="74">
        <f>($A124=Esc_6c!E$9)*AA124/(12*_xlfn.XLOOKUP(AJ$15,sexo_cnu,cnu))</f>
        <v>0</v>
      </c>
      <c r="AK124" s="74">
        <f>($A124=Esc_6c!D$9)*AB124/(12*_xlfn.XLOOKUP(AK$15,sexo_cnu,cnu))</f>
        <v>0</v>
      </c>
      <c r="AL124" s="74">
        <f>($A124=Esc_6c!E$9)*AC124/(12*_xlfn.XLOOKUP(AL$15,sexo_cnu,cnu))</f>
        <v>0</v>
      </c>
      <c r="AM124" s="53">
        <f>($A124=Esc_6c!D$9)*V124/(12*_xlfn.XLOOKUP(AM$15,sexo_cnu,cnu_noc))</f>
        <v>0</v>
      </c>
      <c r="AN124" s="53">
        <f>($A124=Esc_6c!E$9)*W124/(12*_xlfn.XLOOKUP(AN$15,sexo_cnu,cnu_noc))</f>
        <v>0</v>
      </c>
      <c r="AO124" s="53">
        <f>($A124=Esc_6c!D$9)*X124/(12*_xlfn.XLOOKUP(AO$15,sexo_cnu,cnu_noc))</f>
        <v>0</v>
      </c>
      <c r="AP124" s="53">
        <f>($A124=Esc_6c!E$9)*Y124/(12*_xlfn.XLOOKUP(AP$15,sexo_cnu,cnu_noc))</f>
        <v>0</v>
      </c>
      <c r="AQ124" s="53">
        <f>($A124=Esc_6c!E$9)*AD124/(12*_xlfn.XLOOKUP(AQ$15,sexo_cnu,cnu_noc))</f>
        <v>0</v>
      </c>
      <c r="AR124" s="53">
        <f>($A124=Esc_6c!E$9)*AE124/(12*_xlfn.XLOOKUP(AR$15,sexo_cnu,cnu_noc))</f>
        <v>0</v>
      </c>
      <c r="AS124" s="53">
        <f>($A124=Esc_6c!D$9)*AF124/(12*_xlfn.XLOOKUP(AS$15,sexo_cnu,cnu_noc))</f>
        <v>0</v>
      </c>
      <c r="AT124" s="53">
        <f>($A124=Esc_6c!E$9)*AG124/(12*_xlfn.XLOOKUP(AT$15,sexo_cnu,cnu_noc))</f>
        <v>0</v>
      </c>
      <c r="AU124" s="39"/>
      <c r="AV124" s="39"/>
    </row>
    <row r="125" spans="1:48" x14ac:dyDescent="0.25">
      <c r="A125" s="30">
        <v>2090</v>
      </c>
      <c r="B125" s="33">
        <f>w_uf*UF*Parámetros!C112</f>
        <v>1952407.8977460021</v>
      </c>
      <c r="C125" s="30" t="str">
        <f t="shared" si="50"/>
        <v/>
      </c>
      <c r="D125" s="30">
        <f>((A125=Inputs!$C$12)*(Inputs!$D$12) + (A125=Inputs!$C$13)*(Inputs!$D$13) + (A125=Inputs!$C$14)*(Inputs!$D$14)) *(A125 &gt;= a_afil)*(A125&gt;=2024)</f>
        <v>0</v>
      </c>
      <c r="E125" s="30">
        <f>MIN(1,(A125=Inputs!$C$19)*Inputs!$D$19+(A125=Inputs!$C$20)*Inputs!$D$20+(A125=Inputs!$C$21)*Inputs!$D$21*(A125 &gt;= a_afil))</f>
        <v>0</v>
      </c>
      <c r="F125" s="30">
        <f t="shared" si="51"/>
        <v>0</v>
      </c>
      <c r="G125" s="30">
        <f t="shared" si="52"/>
        <v>0</v>
      </c>
      <c r="H125" s="30">
        <v>2.5056600570678711E-3</v>
      </c>
      <c r="I125" s="37">
        <f t="shared" si="57"/>
        <v>0</v>
      </c>
      <c r="J125" s="37">
        <f t="shared" si="58"/>
        <v>0</v>
      </c>
      <c r="K125" s="30">
        <f>1*OR(Inputs!$D$17=$A125,Inputs!$E$17=$A125)*($E125=0)*(F125=1)</f>
        <v>0</v>
      </c>
      <c r="L125" s="30">
        <f>1*OR(Inputs!$D$17=$A125,Inputs!$E$17=$A125)*($E125=0)*(G125=1)</f>
        <v>0</v>
      </c>
      <c r="M125" s="73">
        <f t="shared" si="48"/>
        <v>0</v>
      </c>
      <c r="N125" s="73">
        <f t="shared" si="49"/>
        <v>0</v>
      </c>
      <c r="O125" s="55">
        <f>MIN(Parámetros!$E112, _xlfn.XLOOKUP($A125,agnos,tope_ref_col)*UF)*12*I125*$P$14</f>
        <v>0</v>
      </c>
      <c r="P125" s="55">
        <f>MIN(Parámetros!$E112, _xlfn.XLOOKUP($A125,agnos,tope_ref_col)*UF)*12*J125*$P$14</f>
        <v>0</v>
      </c>
      <c r="Q125" s="70">
        <f t="shared" si="53"/>
        <v>0</v>
      </c>
      <c r="R125" s="70">
        <f t="shared" si="54"/>
        <v>0</v>
      </c>
      <c r="S125" s="68">
        <f t="shared" ref="S125:S135" si="61">MIN($B125,_xlfn.XLOOKUP($A125,agnos,tope_ref_ind)*UF)*(12*I125 + K125*_xlfn.XLOOKUP(n_mes_laguna,giros_sc,tr_sc_acum)) * $X$3</f>
        <v>0</v>
      </c>
      <c r="T125" s="68">
        <f t="shared" ref="T125:T135" si="62">MIN($B125,_xlfn.XLOOKUP($A125,agnos,tope_ref_ind)*UF)*(12*J125 + L125*_xlfn.XLOOKUP(n_mes_laguna,giros_sc,tr_sc_acum)) * $X$3</f>
        <v>0</v>
      </c>
      <c r="U125" s="38"/>
      <c r="V125" s="55">
        <f>IF($A125&gt;Esc_6c!D$9,0,M125*alpha  +V124*(1+i_noc))</f>
        <v>0</v>
      </c>
      <c r="W125" s="55">
        <f>IF($A125&gt;Esc_6c!E$9,0,N125*alpha  +W124*(1+i_noc))</f>
        <v>0</v>
      </c>
      <c r="X125" s="55">
        <f>IF($A125&gt;Esc_6c!D$9,0,O125*(1-alpha)+X124*(1+i_noc))</f>
        <v>0</v>
      </c>
      <c r="Y125" s="55">
        <f>IF($A125&gt;Esc_6c!E$9,0,P125*(1-alpha)+Y124*(1+i_noc))</f>
        <v>0</v>
      </c>
      <c r="Z125" s="54">
        <f t="shared" si="55"/>
        <v>0</v>
      </c>
      <c r="AA125" s="54">
        <f t="shared" si="56"/>
        <v>0</v>
      </c>
      <c r="AB125" s="55">
        <f t="shared" ref="AB125:AB135" si="63">IF(OR(F125,F124),AB124*(1+_xlfn.XLOOKUP(MIN(2024,$A124),agnos_rent,rent_base))*(1-$X$6)+S125,0)</f>
        <v>0</v>
      </c>
      <c r="AC125" s="55">
        <f t="shared" ref="AC125:AC135" si="64">IF(OR(G125,G124),AC124*(1+_xlfn.XLOOKUP(MIN(2024,$A124),agnos_rent,rent_base))*(1-$X$6)+T125,0)</f>
        <v>0</v>
      </c>
      <c r="AD125" s="53">
        <f>D125*mmater*Parámetros!$G112*$W$14+AD124*(1+i_noc)</f>
        <v>0</v>
      </c>
      <c r="AE125" s="53">
        <f>E125*12*Parámetros!$F112*$W$14+AE124*(1+i_noc)</f>
        <v>4264519.1110340739</v>
      </c>
      <c r="AF125" s="53">
        <f t="shared" si="59"/>
        <v>453530.5668604013</v>
      </c>
      <c r="AG125" s="53">
        <f t="shared" si="60"/>
        <v>453530.5668604013</v>
      </c>
      <c r="AI125" s="74">
        <f>($A125=Esc_6c!D$9)*Z125/(12*_xlfn.XLOOKUP(AI$15,sexo_cnu,cnu))</f>
        <v>0</v>
      </c>
      <c r="AJ125" s="74">
        <f>($A125=Esc_6c!E$9)*AA125/(12*_xlfn.XLOOKUP(AJ$15,sexo_cnu,cnu))</f>
        <v>0</v>
      </c>
      <c r="AK125" s="74">
        <f>($A125=Esc_6c!D$9)*AB125/(12*_xlfn.XLOOKUP(AK$15,sexo_cnu,cnu))</f>
        <v>0</v>
      </c>
      <c r="AL125" s="74">
        <f>($A125=Esc_6c!E$9)*AC125/(12*_xlfn.XLOOKUP(AL$15,sexo_cnu,cnu))</f>
        <v>0</v>
      </c>
      <c r="AM125" s="53">
        <f>($A125=Esc_6c!D$9)*V125/(12*_xlfn.XLOOKUP(AM$15,sexo_cnu,cnu_noc))</f>
        <v>0</v>
      </c>
      <c r="AN125" s="53">
        <f>($A125=Esc_6c!E$9)*W125/(12*_xlfn.XLOOKUP(AN$15,sexo_cnu,cnu_noc))</f>
        <v>0</v>
      </c>
      <c r="AO125" s="53">
        <f>($A125=Esc_6c!D$9)*X125/(12*_xlfn.XLOOKUP(AO$15,sexo_cnu,cnu_noc))</f>
        <v>0</v>
      </c>
      <c r="AP125" s="53">
        <f>($A125=Esc_6c!E$9)*Y125/(12*_xlfn.XLOOKUP(AP$15,sexo_cnu,cnu_noc))</f>
        <v>0</v>
      </c>
      <c r="AQ125" s="53">
        <f>($A125=Esc_6c!E$9)*AD125/(12*_xlfn.XLOOKUP(AQ$15,sexo_cnu,cnu_noc))</f>
        <v>0</v>
      </c>
      <c r="AR125" s="53">
        <f>($A125=Esc_6c!E$9)*AE125/(12*_xlfn.XLOOKUP(AR$15,sexo_cnu,cnu_noc))</f>
        <v>0</v>
      </c>
      <c r="AS125" s="53">
        <f>($A125=Esc_6c!D$9)*AF125/(12*_xlfn.XLOOKUP(AS$15,sexo_cnu,cnu_noc))</f>
        <v>0</v>
      </c>
      <c r="AT125" s="53">
        <f>($A125=Esc_6c!E$9)*AG125/(12*_xlfn.XLOOKUP(AT$15,sexo_cnu,cnu_noc))</f>
        <v>0</v>
      </c>
      <c r="AU125" s="39"/>
      <c r="AV125" s="39"/>
    </row>
    <row r="126" spans="1:48" x14ac:dyDescent="0.25">
      <c r="A126" s="30">
        <v>2091</v>
      </c>
      <c r="B126" s="33">
        <f>w_uf*UF*Parámetros!C113</f>
        <v>1976812.9964678269</v>
      </c>
      <c r="C126" s="30" t="str">
        <f t="shared" si="50"/>
        <v/>
      </c>
      <c r="D126" s="30">
        <f>((A126=Inputs!$C$12)*(Inputs!$D$12) + (A126=Inputs!$C$13)*(Inputs!$D$13) + (A126=Inputs!$C$14)*(Inputs!$D$14)) *(A126 &gt;= a_afil)*(A126&gt;=2024)</f>
        <v>0</v>
      </c>
      <c r="E126" s="30">
        <f>MIN(1,(A126=Inputs!$C$19)*Inputs!$D$19+(A126=Inputs!$C$20)*Inputs!$D$20+(A126=Inputs!$C$21)*Inputs!$D$21*(A126 &gt;= a_afil))</f>
        <v>0</v>
      </c>
      <c r="F126" s="30">
        <f t="shared" si="51"/>
        <v>0</v>
      </c>
      <c r="G126" s="30">
        <f t="shared" si="52"/>
        <v>0</v>
      </c>
      <c r="H126" s="30">
        <v>0.74234205484390259</v>
      </c>
      <c r="I126" s="37">
        <f t="shared" si="57"/>
        <v>0</v>
      </c>
      <c r="J126" s="37">
        <f t="shared" si="58"/>
        <v>0</v>
      </c>
      <c r="K126" s="30">
        <f>1*OR(Inputs!$D$17=$A126,Inputs!$E$17=$A126)*($E126=0)*(F126=1)</f>
        <v>0</v>
      </c>
      <c r="L126" s="30">
        <f>1*OR(Inputs!$D$17=$A126,Inputs!$E$17=$A126)*($E126=0)*(G126=1)</f>
        <v>0</v>
      </c>
      <c r="M126" s="73">
        <f t="shared" si="48"/>
        <v>0</v>
      </c>
      <c r="N126" s="73">
        <f t="shared" si="49"/>
        <v>0</v>
      </c>
      <c r="O126" s="55">
        <f>MIN(Parámetros!$E113, _xlfn.XLOOKUP($A126,agnos,tope_ref_col)*UF)*12*I126*$P$14</f>
        <v>0</v>
      </c>
      <c r="P126" s="55">
        <f>MIN(Parámetros!$E113, _xlfn.XLOOKUP($A126,agnos,tope_ref_col)*UF)*12*J126*$P$14</f>
        <v>0</v>
      </c>
      <c r="Q126" s="70">
        <f t="shared" si="53"/>
        <v>0</v>
      </c>
      <c r="R126" s="70">
        <f t="shared" si="54"/>
        <v>0</v>
      </c>
      <c r="S126" s="68">
        <f t="shared" si="61"/>
        <v>0</v>
      </c>
      <c r="T126" s="68">
        <f t="shared" si="62"/>
        <v>0</v>
      </c>
      <c r="U126" s="38"/>
      <c r="V126" s="55">
        <f>IF($A126&gt;Esc_6c!D$9,0,M126*alpha  +V125*(1+i_noc))</f>
        <v>0</v>
      </c>
      <c r="W126" s="55">
        <f>IF($A126&gt;Esc_6c!E$9,0,N126*alpha  +W125*(1+i_noc))</f>
        <v>0</v>
      </c>
      <c r="X126" s="55">
        <f>IF($A126&gt;Esc_6c!D$9,0,O126*(1-alpha)+X125*(1+i_noc))</f>
        <v>0</v>
      </c>
      <c r="Y126" s="55">
        <f>IF($A126&gt;Esc_6c!E$9,0,P126*(1-alpha)+Y125*(1+i_noc))</f>
        <v>0</v>
      </c>
      <c r="Z126" s="54">
        <f t="shared" si="55"/>
        <v>0</v>
      </c>
      <c r="AA126" s="54">
        <f t="shared" si="56"/>
        <v>0</v>
      </c>
      <c r="AB126" s="55">
        <f t="shared" si="63"/>
        <v>0</v>
      </c>
      <c r="AC126" s="55">
        <f t="shared" si="64"/>
        <v>0</v>
      </c>
      <c r="AD126" s="53">
        <f>D126*mmater*Parámetros!$G113*$W$14+AD125*(1+i_noc)</f>
        <v>0</v>
      </c>
      <c r="AE126" s="53">
        <f>E126*12*Parámetros!$F113*$W$14+AE125*(1+i_noc)</f>
        <v>4349809.4932547556</v>
      </c>
      <c r="AF126" s="53">
        <f t="shared" si="59"/>
        <v>462601.17819760932</v>
      </c>
      <c r="AG126" s="53">
        <f t="shared" si="60"/>
        <v>462601.17819760932</v>
      </c>
      <c r="AI126" s="74">
        <f>($A126=Esc_6c!D$9)*Z126/(12*_xlfn.XLOOKUP(AI$15,sexo_cnu,cnu))</f>
        <v>0</v>
      </c>
      <c r="AJ126" s="74">
        <f>($A126=Esc_6c!E$9)*AA126/(12*_xlfn.XLOOKUP(AJ$15,sexo_cnu,cnu))</f>
        <v>0</v>
      </c>
      <c r="AK126" s="74">
        <f>($A126=Esc_6c!D$9)*AB126/(12*_xlfn.XLOOKUP(AK$15,sexo_cnu,cnu))</f>
        <v>0</v>
      </c>
      <c r="AL126" s="74">
        <f>($A126=Esc_6c!E$9)*AC126/(12*_xlfn.XLOOKUP(AL$15,sexo_cnu,cnu))</f>
        <v>0</v>
      </c>
      <c r="AM126" s="53">
        <f>($A126=Esc_6c!D$9)*V126/(12*_xlfn.XLOOKUP(AM$15,sexo_cnu,cnu_noc))</f>
        <v>0</v>
      </c>
      <c r="AN126" s="53">
        <f>($A126=Esc_6c!E$9)*W126/(12*_xlfn.XLOOKUP(AN$15,sexo_cnu,cnu_noc))</f>
        <v>0</v>
      </c>
      <c r="AO126" s="53">
        <f>($A126=Esc_6c!D$9)*X126/(12*_xlfn.XLOOKUP(AO$15,sexo_cnu,cnu_noc))</f>
        <v>0</v>
      </c>
      <c r="AP126" s="53">
        <f>($A126=Esc_6c!E$9)*Y126/(12*_xlfn.XLOOKUP(AP$15,sexo_cnu,cnu_noc))</f>
        <v>0</v>
      </c>
      <c r="AQ126" s="53">
        <f>($A126=Esc_6c!E$9)*AD126/(12*_xlfn.XLOOKUP(AQ$15,sexo_cnu,cnu_noc))</f>
        <v>0</v>
      </c>
      <c r="AR126" s="53">
        <f>($A126=Esc_6c!E$9)*AE126/(12*_xlfn.XLOOKUP(AR$15,sexo_cnu,cnu_noc))</f>
        <v>0</v>
      </c>
      <c r="AS126" s="53">
        <f>($A126=Esc_6c!D$9)*AF126/(12*_xlfn.XLOOKUP(AS$15,sexo_cnu,cnu_noc))</f>
        <v>0</v>
      </c>
      <c r="AT126" s="53">
        <f>($A126=Esc_6c!E$9)*AG126/(12*_xlfn.XLOOKUP(AT$15,sexo_cnu,cnu_noc))</f>
        <v>0</v>
      </c>
      <c r="AU126" s="39"/>
      <c r="AV126" s="39"/>
    </row>
    <row r="127" spans="1:48" x14ac:dyDescent="0.25">
      <c r="A127" s="30">
        <v>2092</v>
      </c>
      <c r="B127" s="33">
        <f>w_uf*UF*Parámetros!C114</f>
        <v>2001523.1589236746</v>
      </c>
      <c r="C127" s="30" t="str">
        <f t="shared" si="50"/>
        <v/>
      </c>
      <c r="D127" s="30">
        <f>((A127=Inputs!$C$12)*(Inputs!$D$12) + (A127=Inputs!$C$13)*(Inputs!$D$13) + (A127=Inputs!$C$14)*(Inputs!$D$14)) *(A127 &gt;= a_afil)*(A127&gt;=2024)</f>
        <v>0</v>
      </c>
      <c r="E127" s="30">
        <f>MIN(1,(A127=Inputs!$C$19)*Inputs!$D$19+(A127=Inputs!$C$20)*Inputs!$D$20+(A127=Inputs!$C$21)*Inputs!$D$21*(A127 &gt;= a_afil))</f>
        <v>0</v>
      </c>
      <c r="F127" s="30">
        <f t="shared" si="51"/>
        <v>0</v>
      </c>
      <c r="G127" s="30">
        <f t="shared" si="52"/>
        <v>0</v>
      </c>
      <c r="H127" s="30">
        <v>0.84088706970214844</v>
      </c>
      <c r="I127" s="37">
        <f t="shared" si="57"/>
        <v>0</v>
      </c>
      <c r="J127" s="37">
        <f t="shared" si="58"/>
        <v>0</v>
      </c>
      <c r="K127" s="30">
        <f>1*OR(Inputs!$D$17=$A127,Inputs!$E$17=$A127)*($E127=0)*(F127=1)</f>
        <v>0</v>
      </c>
      <c r="L127" s="30">
        <f>1*OR(Inputs!$D$17=$A127,Inputs!$E$17=$A127)*($E127=0)*(G127=1)</f>
        <v>0</v>
      </c>
      <c r="M127" s="73">
        <f t="shared" si="48"/>
        <v>0</v>
      </c>
      <c r="N127" s="73">
        <f t="shared" si="49"/>
        <v>0</v>
      </c>
      <c r="O127" s="55">
        <f>MIN(Parámetros!$E114, _xlfn.XLOOKUP($A127,agnos,tope_ref_col)*UF)*12*I127*$P$14</f>
        <v>0</v>
      </c>
      <c r="P127" s="55">
        <f>MIN(Parámetros!$E114, _xlfn.XLOOKUP($A127,agnos,tope_ref_col)*UF)*12*J127*$P$14</f>
        <v>0</v>
      </c>
      <c r="Q127" s="70">
        <f t="shared" si="53"/>
        <v>0</v>
      </c>
      <c r="R127" s="70">
        <f t="shared" si="54"/>
        <v>0</v>
      </c>
      <c r="S127" s="68">
        <f t="shared" si="61"/>
        <v>0</v>
      </c>
      <c r="T127" s="68">
        <f t="shared" si="62"/>
        <v>0</v>
      </c>
      <c r="U127" s="38"/>
      <c r="V127" s="55">
        <f>IF($A127&gt;Esc_6c!D$9,0,M127*alpha  +V126*(1+i_noc))</f>
        <v>0</v>
      </c>
      <c r="W127" s="55">
        <f>IF($A127&gt;Esc_6c!E$9,0,N127*alpha  +W126*(1+i_noc))</f>
        <v>0</v>
      </c>
      <c r="X127" s="55">
        <f>IF($A127&gt;Esc_6c!D$9,0,O127*(1-alpha)+X126*(1+i_noc))</f>
        <v>0</v>
      </c>
      <c r="Y127" s="55">
        <f>IF($A127&gt;Esc_6c!E$9,0,P127*(1-alpha)+Y126*(1+i_noc))</f>
        <v>0</v>
      </c>
      <c r="Z127" s="54">
        <f t="shared" si="55"/>
        <v>0</v>
      </c>
      <c r="AA127" s="54">
        <f t="shared" si="56"/>
        <v>0</v>
      </c>
      <c r="AB127" s="55">
        <f t="shared" si="63"/>
        <v>0</v>
      </c>
      <c r="AC127" s="55">
        <f t="shared" si="64"/>
        <v>0</v>
      </c>
      <c r="AD127" s="53">
        <f>D127*mmater*Parámetros!$G114*$W$14+AD126*(1+i_noc)</f>
        <v>0</v>
      </c>
      <c r="AE127" s="53">
        <f>E127*12*Parámetros!$F114*$W$14+AE126*(1+i_noc)</f>
        <v>4436805.6831198512</v>
      </c>
      <c r="AF127" s="53">
        <f t="shared" si="59"/>
        <v>471853.2017615615</v>
      </c>
      <c r="AG127" s="53">
        <f t="shared" si="60"/>
        <v>471853.2017615615</v>
      </c>
      <c r="AI127" s="74">
        <f>($A127=Esc_6c!D$9)*Z127/(12*_xlfn.XLOOKUP(AI$15,sexo_cnu,cnu))</f>
        <v>0</v>
      </c>
      <c r="AJ127" s="74">
        <f>($A127=Esc_6c!E$9)*AA127/(12*_xlfn.XLOOKUP(AJ$15,sexo_cnu,cnu))</f>
        <v>0</v>
      </c>
      <c r="AK127" s="74">
        <f>($A127=Esc_6c!D$9)*AB127/(12*_xlfn.XLOOKUP(AK$15,sexo_cnu,cnu))</f>
        <v>0</v>
      </c>
      <c r="AL127" s="74">
        <f>($A127=Esc_6c!E$9)*AC127/(12*_xlfn.XLOOKUP(AL$15,sexo_cnu,cnu))</f>
        <v>0</v>
      </c>
      <c r="AM127" s="53">
        <f>($A127=Esc_6c!D$9)*V127/(12*_xlfn.XLOOKUP(AM$15,sexo_cnu,cnu_noc))</f>
        <v>0</v>
      </c>
      <c r="AN127" s="53">
        <f>($A127=Esc_6c!E$9)*W127/(12*_xlfn.XLOOKUP(AN$15,sexo_cnu,cnu_noc))</f>
        <v>0</v>
      </c>
      <c r="AO127" s="53">
        <f>($A127=Esc_6c!D$9)*X127/(12*_xlfn.XLOOKUP(AO$15,sexo_cnu,cnu_noc))</f>
        <v>0</v>
      </c>
      <c r="AP127" s="53">
        <f>($A127=Esc_6c!E$9)*Y127/(12*_xlfn.XLOOKUP(AP$15,sexo_cnu,cnu_noc))</f>
        <v>0</v>
      </c>
      <c r="AQ127" s="53">
        <f>($A127=Esc_6c!E$9)*AD127/(12*_xlfn.XLOOKUP(AQ$15,sexo_cnu,cnu_noc))</f>
        <v>0</v>
      </c>
      <c r="AR127" s="53">
        <f>($A127=Esc_6c!E$9)*AE127/(12*_xlfn.XLOOKUP(AR$15,sexo_cnu,cnu_noc))</f>
        <v>0</v>
      </c>
      <c r="AS127" s="53">
        <f>($A127=Esc_6c!D$9)*AF127/(12*_xlfn.XLOOKUP(AS$15,sexo_cnu,cnu_noc))</f>
        <v>0</v>
      </c>
      <c r="AT127" s="53">
        <f>($A127=Esc_6c!E$9)*AG127/(12*_xlfn.XLOOKUP(AT$15,sexo_cnu,cnu_noc))</f>
        <v>0</v>
      </c>
      <c r="AU127" s="39"/>
      <c r="AV127" s="39"/>
    </row>
    <row r="128" spans="1:48" x14ac:dyDescent="0.25">
      <c r="A128" s="30">
        <v>2093</v>
      </c>
      <c r="B128" s="33">
        <f>w_uf*UF*Parámetros!C115</f>
        <v>2026542.1984102204</v>
      </c>
      <c r="C128" s="30" t="str">
        <f t="shared" si="50"/>
        <v/>
      </c>
      <c r="D128" s="30">
        <f>((A128=Inputs!$C$12)*(Inputs!$D$12) + (A128=Inputs!$C$13)*(Inputs!$D$13) + (A128=Inputs!$C$14)*(Inputs!$D$14)) *(A128 &gt;= a_afil)*(A128&gt;=2024)</f>
        <v>0</v>
      </c>
      <c r="E128" s="30">
        <f>MIN(1,(A128=Inputs!$C$19)*Inputs!$D$19+(A128=Inputs!$C$20)*Inputs!$D$20+(A128=Inputs!$C$21)*Inputs!$D$21*(A128 &gt;= a_afil))</f>
        <v>0</v>
      </c>
      <c r="F128" s="30">
        <f t="shared" si="51"/>
        <v>0</v>
      </c>
      <c r="G128" s="30">
        <f t="shared" si="52"/>
        <v>0</v>
      </c>
      <c r="H128" s="30">
        <v>0.27858942747116089</v>
      </c>
      <c r="I128" s="37">
        <f t="shared" si="57"/>
        <v>0</v>
      </c>
      <c r="J128" s="37">
        <f t="shared" si="58"/>
        <v>0</v>
      </c>
      <c r="K128" s="30">
        <f>1*OR(Inputs!$D$17=$A128,Inputs!$E$17=$A128)*($E128=0)*(F128=1)</f>
        <v>0</v>
      </c>
      <c r="L128" s="30">
        <f>1*OR(Inputs!$D$17=$A128,Inputs!$E$17=$A128)*($E128=0)*(G128=1)</f>
        <v>0</v>
      </c>
      <c r="M128" s="73">
        <f t="shared" ref="M128:M135" si="65">MIN($B128,_xlfn.XLOOKUP($A128,agnos,tope_ref_col)*UF)*12*I128*$N$14</f>
        <v>0</v>
      </c>
      <c r="N128" s="73">
        <f t="shared" ref="N128:N135" si="66">MIN($B128,_xlfn.XLOOKUP($A128,agnos,tope_ref_col)*UF)*12*J128*$N$14</f>
        <v>0</v>
      </c>
      <c r="O128" s="55">
        <f>MIN(Parámetros!$E115, _xlfn.XLOOKUP($A128,agnos,tope_ref_col)*UF)*12*I128*$P$14</f>
        <v>0</v>
      </c>
      <c r="P128" s="55">
        <f>MIN(Parámetros!$E115, _xlfn.XLOOKUP($A128,agnos,tope_ref_col)*UF)*12*J128*$P$14</f>
        <v>0</v>
      </c>
      <c r="Q128" s="70">
        <f t="shared" si="53"/>
        <v>0</v>
      </c>
      <c r="R128" s="70">
        <f t="shared" si="54"/>
        <v>0</v>
      </c>
      <c r="S128" s="68">
        <f t="shared" si="61"/>
        <v>0</v>
      </c>
      <c r="T128" s="68">
        <f t="shared" si="62"/>
        <v>0</v>
      </c>
      <c r="U128" s="38"/>
      <c r="V128" s="55">
        <f>IF($A128&gt;Esc_6c!D$9,0,M128*alpha  +V127*(1+i_noc))</f>
        <v>0</v>
      </c>
      <c r="W128" s="55">
        <f>IF($A128&gt;Esc_6c!E$9,0,N128*alpha  +W127*(1+i_noc))</f>
        <v>0</v>
      </c>
      <c r="X128" s="55">
        <f>IF($A128&gt;Esc_6c!D$9,0,O128*(1-alpha)+X127*(1+i_noc))</f>
        <v>0</v>
      </c>
      <c r="Y128" s="55">
        <f>IF($A128&gt;Esc_6c!E$9,0,P128*(1-alpha)+Y127*(1+i_noc))</f>
        <v>0</v>
      </c>
      <c r="Z128" s="54">
        <f t="shared" si="55"/>
        <v>0</v>
      </c>
      <c r="AA128" s="54">
        <f t="shared" si="56"/>
        <v>0</v>
      </c>
      <c r="AB128" s="55">
        <f t="shared" si="63"/>
        <v>0</v>
      </c>
      <c r="AC128" s="55">
        <f t="shared" si="64"/>
        <v>0</v>
      </c>
      <c r="AD128" s="53">
        <f>D128*mmater*Parámetros!$G115*$W$14+AD127*(1+i_noc)</f>
        <v>0</v>
      </c>
      <c r="AE128" s="53">
        <f>E128*12*Parámetros!$F115*$W$14+AE127*(1+i_noc)</f>
        <v>4525541.7967822487</v>
      </c>
      <c r="AF128" s="53">
        <f t="shared" si="59"/>
        <v>481290.26579679275</v>
      </c>
      <c r="AG128" s="53">
        <f t="shared" si="60"/>
        <v>481290.26579679275</v>
      </c>
      <c r="AI128" s="74">
        <f>($A128=Esc_6c!D$9)*Z128/(12*_xlfn.XLOOKUP(AI$15,sexo_cnu,cnu))</f>
        <v>0</v>
      </c>
      <c r="AJ128" s="74">
        <f>($A128=Esc_6c!E$9)*AA128/(12*_xlfn.XLOOKUP(AJ$15,sexo_cnu,cnu))</f>
        <v>0</v>
      </c>
      <c r="AK128" s="74">
        <f>($A128=Esc_6c!D$9)*AB128/(12*_xlfn.XLOOKUP(AK$15,sexo_cnu,cnu))</f>
        <v>0</v>
      </c>
      <c r="AL128" s="74">
        <f>($A128=Esc_6c!E$9)*AC128/(12*_xlfn.XLOOKUP(AL$15,sexo_cnu,cnu))</f>
        <v>0</v>
      </c>
      <c r="AM128" s="53">
        <f>($A128=Esc_6c!D$9)*V128/(12*_xlfn.XLOOKUP(AM$15,sexo_cnu,cnu_noc))</f>
        <v>0</v>
      </c>
      <c r="AN128" s="53">
        <f>($A128=Esc_6c!E$9)*W128/(12*_xlfn.XLOOKUP(AN$15,sexo_cnu,cnu_noc))</f>
        <v>0</v>
      </c>
      <c r="AO128" s="53">
        <f>($A128=Esc_6c!D$9)*X128/(12*_xlfn.XLOOKUP(AO$15,sexo_cnu,cnu_noc))</f>
        <v>0</v>
      </c>
      <c r="AP128" s="53">
        <f>($A128=Esc_6c!E$9)*Y128/(12*_xlfn.XLOOKUP(AP$15,sexo_cnu,cnu_noc))</f>
        <v>0</v>
      </c>
      <c r="AQ128" s="53">
        <f>($A128=Esc_6c!E$9)*AD128/(12*_xlfn.XLOOKUP(AQ$15,sexo_cnu,cnu_noc))</f>
        <v>0</v>
      </c>
      <c r="AR128" s="53">
        <f>($A128=Esc_6c!E$9)*AE128/(12*_xlfn.XLOOKUP(AR$15,sexo_cnu,cnu_noc))</f>
        <v>0</v>
      </c>
      <c r="AS128" s="53">
        <f>($A128=Esc_6c!D$9)*AF128/(12*_xlfn.XLOOKUP(AS$15,sexo_cnu,cnu_noc))</f>
        <v>0</v>
      </c>
      <c r="AT128" s="53">
        <f>($A128=Esc_6c!E$9)*AG128/(12*_xlfn.XLOOKUP(AT$15,sexo_cnu,cnu_noc))</f>
        <v>0</v>
      </c>
      <c r="AU128" s="39"/>
      <c r="AV128" s="39"/>
    </row>
    <row r="129" spans="1:48" x14ac:dyDescent="0.25">
      <c r="A129" s="30">
        <v>2094</v>
      </c>
      <c r="B129" s="33">
        <f>w_uf*UF*Parámetros!C116</f>
        <v>2051873.9758903482</v>
      </c>
      <c r="C129" s="30" t="str">
        <f t="shared" si="50"/>
        <v/>
      </c>
      <c r="D129" s="30">
        <f>((A129=Inputs!$C$12)*(Inputs!$D$12) + (A129=Inputs!$C$13)*(Inputs!$D$13) + (A129=Inputs!$C$14)*(Inputs!$D$14)) *(A129 &gt;= a_afil)*(A129&gt;=2024)</f>
        <v>0</v>
      </c>
      <c r="E129" s="30">
        <f>MIN(1,(A129=Inputs!$C$19)*Inputs!$D$19+(A129=Inputs!$C$20)*Inputs!$D$20+(A129=Inputs!$C$21)*Inputs!$D$21*(A129 &gt;= a_afil))</f>
        <v>0</v>
      </c>
      <c r="F129" s="30">
        <f t="shared" si="51"/>
        <v>0</v>
      </c>
      <c r="G129" s="30">
        <f t="shared" si="52"/>
        <v>0</v>
      </c>
      <c r="H129" s="30">
        <v>0.70297014713287354</v>
      </c>
      <c r="I129" s="37">
        <f t="shared" si="57"/>
        <v>0</v>
      </c>
      <c r="J129" s="37">
        <f t="shared" si="58"/>
        <v>0</v>
      </c>
      <c r="K129" s="30">
        <f>1*OR(Inputs!$D$17=$A129,Inputs!$E$17=$A129)*($E129=0)*(F129=1)</f>
        <v>0</v>
      </c>
      <c r="L129" s="30">
        <f>1*OR(Inputs!$D$17=$A129,Inputs!$E$17=$A129)*($E129=0)*(G129=1)</f>
        <v>0</v>
      </c>
      <c r="M129" s="73">
        <f t="shared" si="65"/>
        <v>0</v>
      </c>
      <c r="N129" s="73">
        <f t="shared" si="66"/>
        <v>0</v>
      </c>
      <c r="O129" s="55">
        <f>MIN(Parámetros!$E116, _xlfn.XLOOKUP($A129,agnos,tope_ref_col)*UF)*12*I129*$P$14</f>
        <v>0</v>
      </c>
      <c r="P129" s="55">
        <f>MIN(Parámetros!$E116, _xlfn.XLOOKUP($A129,agnos,tope_ref_col)*UF)*12*J129*$P$14</f>
        <v>0</v>
      </c>
      <c r="Q129" s="70">
        <f t="shared" si="53"/>
        <v>0</v>
      </c>
      <c r="R129" s="70">
        <f t="shared" si="54"/>
        <v>0</v>
      </c>
      <c r="S129" s="68">
        <f t="shared" si="61"/>
        <v>0</v>
      </c>
      <c r="T129" s="68">
        <f t="shared" si="62"/>
        <v>0</v>
      </c>
      <c r="U129" s="38"/>
      <c r="V129" s="55">
        <f>IF($A129&gt;Esc_6c!D$9,0,M129*alpha  +V128*(1+i_noc))</f>
        <v>0</v>
      </c>
      <c r="W129" s="55">
        <f>IF($A129&gt;Esc_6c!E$9,0,N129*alpha  +W128*(1+i_noc))</f>
        <v>0</v>
      </c>
      <c r="X129" s="55">
        <f>IF($A129&gt;Esc_6c!D$9,0,O129*(1-alpha)+X128*(1+i_noc))</f>
        <v>0</v>
      </c>
      <c r="Y129" s="55">
        <f>IF($A129&gt;Esc_6c!E$9,0,P129*(1-alpha)+Y128*(1+i_noc))</f>
        <v>0</v>
      </c>
      <c r="Z129" s="54">
        <f t="shared" si="55"/>
        <v>0</v>
      </c>
      <c r="AA129" s="54">
        <f t="shared" si="56"/>
        <v>0</v>
      </c>
      <c r="AB129" s="55">
        <f t="shared" si="63"/>
        <v>0</v>
      </c>
      <c r="AC129" s="55">
        <f t="shared" si="64"/>
        <v>0</v>
      </c>
      <c r="AD129" s="53">
        <f>D129*mmater*Parámetros!$G116*$W$14+AD128*(1+i_noc)</f>
        <v>0</v>
      </c>
      <c r="AE129" s="53">
        <f>E129*12*Parámetros!$F116*$W$14+AE128*(1+i_noc)</f>
        <v>4616052.6327178935</v>
      </c>
      <c r="AF129" s="53">
        <f t="shared" si="59"/>
        <v>490916.07111272862</v>
      </c>
      <c r="AG129" s="53">
        <f t="shared" si="60"/>
        <v>490916.07111272862</v>
      </c>
      <c r="AI129" s="74">
        <f>($A129=Esc_6c!D$9)*Z129/(12*_xlfn.XLOOKUP(AI$15,sexo_cnu,cnu))</f>
        <v>0</v>
      </c>
      <c r="AJ129" s="74">
        <f>($A129=Esc_6c!E$9)*AA129/(12*_xlfn.XLOOKUP(AJ$15,sexo_cnu,cnu))</f>
        <v>0</v>
      </c>
      <c r="AK129" s="74">
        <f>($A129=Esc_6c!D$9)*AB129/(12*_xlfn.XLOOKUP(AK$15,sexo_cnu,cnu))</f>
        <v>0</v>
      </c>
      <c r="AL129" s="74">
        <f>($A129=Esc_6c!E$9)*AC129/(12*_xlfn.XLOOKUP(AL$15,sexo_cnu,cnu))</f>
        <v>0</v>
      </c>
      <c r="AM129" s="53">
        <f>($A129=Esc_6c!D$9)*V129/(12*_xlfn.XLOOKUP(AM$15,sexo_cnu,cnu_noc))</f>
        <v>0</v>
      </c>
      <c r="AN129" s="53">
        <f>($A129=Esc_6c!E$9)*W129/(12*_xlfn.XLOOKUP(AN$15,sexo_cnu,cnu_noc))</f>
        <v>0</v>
      </c>
      <c r="AO129" s="53">
        <f>($A129=Esc_6c!D$9)*X129/(12*_xlfn.XLOOKUP(AO$15,sexo_cnu,cnu_noc))</f>
        <v>0</v>
      </c>
      <c r="AP129" s="53">
        <f>($A129=Esc_6c!E$9)*Y129/(12*_xlfn.XLOOKUP(AP$15,sexo_cnu,cnu_noc))</f>
        <v>0</v>
      </c>
      <c r="AQ129" s="53">
        <f>($A129=Esc_6c!E$9)*AD129/(12*_xlfn.XLOOKUP(AQ$15,sexo_cnu,cnu_noc))</f>
        <v>0</v>
      </c>
      <c r="AR129" s="53">
        <f>($A129=Esc_6c!E$9)*AE129/(12*_xlfn.XLOOKUP(AR$15,sexo_cnu,cnu_noc))</f>
        <v>0</v>
      </c>
      <c r="AS129" s="53">
        <f>($A129=Esc_6c!D$9)*AF129/(12*_xlfn.XLOOKUP(AS$15,sexo_cnu,cnu_noc))</f>
        <v>0</v>
      </c>
      <c r="AT129" s="53">
        <f>($A129=Esc_6c!E$9)*AG129/(12*_xlfn.XLOOKUP(AT$15,sexo_cnu,cnu_noc))</f>
        <v>0</v>
      </c>
      <c r="AU129" s="39"/>
      <c r="AV129" s="39"/>
    </row>
    <row r="130" spans="1:48" x14ac:dyDescent="0.25">
      <c r="A130" s="30">
        <v>2095</v>
      </c>
      <c r="B130" s="33">
        <f>w_uf*UF*Parámetros!C117</f>
        <v>2077522.4005889776</v>
      </c>
      <c r="C130" s="30" t="str">
        <f t="shared" si="50"/>
        <v/>
      </c>
      <c r="D130" s="30">
        <f>((A130=Inputs!$C$12)*(Inputs!$D$12) + (A130=Inputs!$C$13)*(Inputs!$D$13) + (A130=Inputs!$C$14)*(Inputs!$D$14)) *(A130 &gt;= a_afil)*(A130&gt;=2024)</f>
        <v>0</v>
      </c>
      <c r="E130" s="30">
        <f>MIN(1,(A130=Inputs!$C$19)*Inputs!$D$19+(A130=Inputs!$C$20)*Inputs!$D$20+(A130=Inputs!$C$21)*Inputs!$D$21*(A130 &gt;= a_afil))</f>
        <v>0</v>
      </c>
      <c r="F130" s="30">
        <f t="shared" si="51"/>
        <v>0</v>
      </c>
      <c r="G130" s="30">
        <f t="shared" si="52"/>
        <v>0</v>
      </c>
      <c r="H130" s="30">
        <v>0.4048646092414856</v>
      </c>
      <c r="I130" s="37">
        <f t="shared" si="57"/>
        <v>0</v>
      </c>
      <c r="J130" s="37">
        <f t="shared" si="58"/>
        <v>0</v>
      </c>
      <c r="K130" s="30">
        <f>1*OR(Inputs!$D$17=$A130,Inputs!$E$17=$A130)*($E130=0)*(F130=1)</f>
        <v>0</v>
      </c>
      <c r="L130" s="30">
        <f>1*OR(Inputs!$D$17=$A130,Inputs!$E$17=$A130)*($E130=0)*(G130=1)</f>
        <v>0</v>
      </c>
      <c r="M130" s="73">
        <f t="shared" si="65"/>
        <v>0</v>
      </c>
      <c r="N130" s="73">
        <f t="shared" si="66"/>
        <v>0</v>
      </c>
      <c r="O130" s="55">
        <f>MIN(Parámetros!$E117, _xlfn.XLOOKUP($A130,agnos,tope_ref_col)*UF)*12*I130*$P$14</f>
        <v>0</v>
      </c>
      <c r="P130" s="55">
        <f>MIN(Parámetros!$E117, _xlfn.XLOOKUP($A130,agnos,tope_ref_col)*UF)*12*J130*$P$14</f>
        <v>0</v>
      </c>
      <c r="Q130" s="70">
        <f t="shared" si="53"/>
        <v>0</v>
      </c>
      <c r="R130" s="70">
        <f t="shared" si="54"/>
        <v>0</v>
      </c>
      <c r="S130" s="68">
        <f t="shared" si="61"/>
        <v>0</v>
      </c>
      <c r="T130" s="68">
        <f t="shared" si="62"/>
        <v>0</v>
      </c>
      <c r="U130" s="38"/>
      <c r="V130" s="55">
        <f>IF($A130&gt;Esc_6c!D$9,0,M130*alpha  +V129*(1+i_noc))</f>
        <v>0</v>
      </c>
      <c r="W130" s="55">
        <f>IF($A130&gt;Esc_6c!E$9,0,N130*alpha  +W129*(1+i_noc))</f>
        <v>0</v>
      </c>
      <c r="X130" s="55">
        <f>IF($A130&gt;Esc_6c!D$9,0,O130*(1-alpha)+X129*(1+i_noc))</f>
        <v>0</v>
      </c>
      <c r="Y130" s="55">
        <f>IF($A130&gt;Esc_6c!E$9,0,P130*(1-alpha)+Y129*(1+i_noc))</f>
        <v>0</v>
      </c>
      <c r="Z130" s="54">
        <f t="shared" si="55"/>
        <v>0</v>
      </c>
      <c r="AA130" s="54">
        <f t="shared" si="56"/>
        <v>0</v>
      </c>
      <c r="AB130" s="55">
        <f t="shared" si="63"/>
        <v>0</v>
      </c>
      <c r="AC130" s="55">
        <f t="shared" si="64"/>
        <v>0</v>
      </c>
      <c r="AD130" s="53">
        <f>D130*mmater*Parámetros!$G117*$W$14+AD129*(1+i_noc)</f>
        <v>0</v>
      </c>
      <c r="AE130" s="53">
        <f>E130*12*Parámetros!$F117*$W$14+AE129*(1+i_noc)</f>
        <v>4708373.6853722511</v>
      </c>
      <c r="AF130" s="53">
        <f t="shared" si="59"/>
        <v>500734.39253498323</v>
      </c>
      <c r="AG130" s="53">
        <f t="shared" si="60"/>
        <v>500734.39253498323</v>
      </c>
      <c r="AI130" s="74">
        <f>($A130=Esc_6c!D$9)*Z130/(12*_xlfn.XLOOKUP(AI$15,sexo_cnu,cnu))</f>
        <v>0</v>
      </c>
      <c r="AJ130" s="74">
        <f>($A130=Esc_6c!E$9)*AA130/(12*_xlfn.XLOOKUP(AJ$15,sexo_cnu,cnu))</f>
        <v>0</v>
      </c>
      <c r="AK130" s="74">
        <f>($A130=Esc_6c!D$9)*AB130/(12*_xlfn.XLOOKUP(AK$15,sexo_cnu,cnu))</f>
        <v>0</v>
      </c>
      <c r="AL130" s="74">
        <f>($A130=Esc_6c!E$9)*AC130/(12*_xlfn.XLOOKUP(AL$15,sexo_cnu,cnu))</f>
        <v>0</v>
      </c>
      <c r="AM130" s="53">
        <f>($A130=Esc_6c!D$9)*V130/(12*_xlfn.XLOOKUP(AM$15,sexo_cnu,cnu_noc))</f>
        <v>0</v>
      </c>
      <c r="AN130" s="53">
        <f>($A130=Esc_6c!E$9)*W130/(12*_xlfn.XLOOKUP(AN$15,sexo_cnu,cnu_noc))</f>
        <v>0</v>
      </c>
      <c r="AO130" s="53">
        <f>($A130=Esc_6c!D$9)*X130/(12*_xlfn.XLOOKUP(AO$15,sexo_cnu,cnu_noc))</f>
        <v>0</v>
      </c>
      <c r="AP130" s="53">
        <f>($A130=Esc_6c!E$9)*Y130/(12*_xlfn.XLOOKUP(AP$15,sexo_cnu,cnu_noc))</f>
        <v>0</v>
      </c>
      <c r="AQ130" s="53">
        <f>($A130=Esc_6c!E$9)*AD130/(12*_xlfn.XLOOKUP(AQ$15,sexo_cnu,cnu_noc))</f>
        <v>0</v>
      </c>
      <c r="AR130" s="53">
        <f>($A130=Esc_6c!E$9)*AE130/(12*_xlfn.XLOOKUP(AR$15,sexo_cnu,cnu_noc))</f>
        <v>0</v>
      </c>
      <c r="AS130" s="53">
        <f>($A130=Esc_6c!D$9)*AF130/(12*_xlfn.XLOOKUP(AS$15,sexo_cnu,cnu_noc))</f>
        <v>0</v>
      </c>
      <c r="AT130" s="53">
        <f>($A130=Esc_6c!E$9)*AG130/(12*_xlfn.XLOOKUP(AT$15,sexo_cnu,cnu_noc))</f>
        <v>0</v>
      </c>
      <c r="AU130" s="39"/>
      <c r="AV130" s="39"/>
    </row>
    <row r="131" spans="1:48" x14ac:dyDescent="0.25">
      <c r="A131" s="30">
        <v>2096</v>
      </c>
      <c r="B131" s="33">
        <f>w_uf*UF*Parámetros!C118</f>
        <v>2103491.4305963395</v>
      </c>
      <c r="C131" s="30" t="str">
        <f t="shared" si="50"/>
        <v/>
      </c>
      <c r="D131" s="30">
        <f>((A131=Inputs!$C$12)*(Inputs!$D$12) + (A131=Inputs!$C$13)*(Inputs!$D$13) + (A131=Inputs!$C$14)*(Inputs!$D$14)) *(A131 &gt;= a_afil)*(A131&gt;=2024)</f>
        <v>0</v>
      </c>
      <c r="E131" s="30">
        <f>MIN(1,(A131=Inputs!$C$19)*Inputs!$D$19+(A131=Inputs!$C$20)*Inputs!$D$20+(A131=Inputs!$C$21)*Inputs!$D$21*(A131 &gt;= a_afil))</f>
        <v>0</v>
      </c>
      <c r="F131" s="30">
        <f t="shared" si="51"/>
        <v>0</v>
      </c>
      <c r="G131" s="30">
        <f t="shared" si="52"/>
        <v>0</v>
      </c>
      <c r="H131" s="30">
        <v>0.81157135963439941</v>
      </c>
      <c r="I131" s="37">
        <f t="shared" si="57"/>
        <v>0</v>
      </c>
      <c r="J131" s="37">
        <f t="shared" si="58"/>
        <v>0</v>
      </c>
      <c r="K131" s="30">
        <f>1*OR(Inputs!$D$17=$A131,Inputs!$E$17=$A131)*($E131=0)*(F131=1)</f>
        <v>0</v>
      </c>
      <c r="L131" s="30">
        <f>1*OR(Inputs!$D$17=$A131,Inputs!$E$17=$A131)*($E131=0)*(G131=1)</f>
        <v>0</v>
      </c>
      <c r="M131" s="73">
        <f t="shared" si="65"/>
        <v>0</v>
      </c>
      <c r="N131" s="73">
        <f t="shared" si="66"/>
        <v>0</v>
      </c>
      <c r="O131" s="55">
        <f>MIN(Parámetros!$E118, _xlfn.XLOOKUP($A131,agnos,tope_ref_col)*UF)*12*I131*$P$14</f>
        <v>0</v>
      </c>
      <c r="P131" s="55">
        <f>MIN(Parámetros!$E118, _xlfn.XLOOKUP($A131,agnos,tope_ref_col)*UF)*12*J131*$P$14</f>
        <v>0</v>
      </c>
      <c r="Q131" s="70">
        <f t="shared" si="53"/>
        <v>0</v>
      </c>
      <c r="R131" s="70">
        <f t="shared" si="54"/>
        <v>0</v>
      </c>
      <c r="S131" s="68">
        <f t="shared" si="61"/>
        <v>0</v>
      </c>
      <c r="T131" s="68">
        <f t="shared" si="62"/>
        <v>0</v>
      </c>
      <c r="U131" s="38"/>
      <c r="V131" s="55">
        <f>IF($A131&gt;Esc_6c!D$9,0,M131*alpha  +V130*(1+i_noc))</f>
        <v>0</v>
      </c>
      <c r="W131" s="55">
        <f>IF($A131&gt;Esc_6c!E$9,0,N131*alpha  +W130*(1+i_noc))</f>
        <v>0</v>
      </c>
      <c r="X131" s="55">
        <f>IF($A131&gt;Esc_6c!D$9,0,O131*(1-alpha)+X130*(1+i_noc))</f>
        <v>0</v>
      </c>
      <c r="Y131" s="55">
        <f>IF($A131&gt;Esc_6c!E$9,0,P131*(1-alpha)+Y130*(1+i_noc))</f>
        <v>0</v>
      </c>
      <c r="Z131" s="54">
        <f t="shared" si="55"/>
        <v>0</v>
      </c>
      <c r="AA131" s="54">
        <f t="shared" si="56"/>
        <v>0</v>
      </c>
      <c r="AB131" s="55">
        <f t="shared" si="63"/>
        <v>0</v>
      </c>
      <c r="AC131" s="55">
        <f t="shared" si="64"/>
        <v>0</v>
      </c>
      <c r="AD131" s="53">
        <f>D131*mmater*Parámetros!$G118*$W$14+AD130*(1+i_noc)</f>
        <v>0</v>
      </c>
      <c r="AE131" s="53">
        <f>E131*12*Parámetros!$F118*$W$14+AE130*(1+i_noc)</f>
        <v>4802541.1590796961</v>
      </c>
      <c r="AF131" s="53">
        <f t="shared" si="59"/>
        <v>510749.08038568293</v>
      </c>
      <c r="AG131" s="53">
        <f t="shared" si="60"/>
        <v>510749.08038568293</v>
      </c>
      <c r="AI131" s="74">
        <f>($A131=Esc_6c!D$9)*Z131/(12*_xlfn.XLOOKUP(AI$15,sexo_cnu,cnu))</f>
        <v>0</v>
      </c>
      <c r="AJ131" s="74">
        <f>($A131=Esc_6c!E$9)*AA131/(12*_xlfn.XLOOKUP(AJ$15,sexo_cnu,cnu))</f>
        <v>0</v>
      </c>
      <c r="AK131" s="74">
        <f>($A131=Esc_6c!D$9)*AB131/(12*_xlfn.XLOOKUP(AK$15,sexo_cnu,cnu))</f>
        <v>0</v>
      </c>
      <c r="AL131" s="74">
        <f>($A131=Esc_6c!E$9)*AC131/(12*_xlfn.XLOOKUP(AL$15,sexo_cnu,cnu))</f>
        <v>0</v>
      </c>
      <c r="AM131" s="53">
        <f>($A131=Esc_6c!D$9)*V131/(12*_xlfn.XLOOKUP(AM$15,sexo_cnu,cnu_noc))</f>
        <v>0</v>
      </c>
      <c r="AN131" s="53">
        <f>($A131=Esc_6c!E$9)*W131/(12*_xlfn.XLOOKUP(AN$15,sexo_cnu,cnu_noc))</f>
        <v>0</v>
      </c>
      <c r="AO131" s="53">
        <f>($A131=Esc_6c!D$9)*X131/(12*_xlfn.XLOOKUP(AO$15,sexo_cnu,cnu_noc))</f>
        <v>0</v>
      </c>
      <c r="AP131" s="53">
        <f>($A131=Esc_6c!E$9)*Y131/(12*_xlfn.XLOOKUP(AP$15,sexo_cnu,cnu_noc))</f>
        <v>0</v>
      </c>
      <c r="AQ131" s="53">
        <f>($A131=Esc_6c!E$9)*AD131/(12*_xlfn.XLOOKUP(AQ$15,sexo_cnu,cnu_noc))</f>
        <v>0</v>
      </c>
      <c r="AR131" s="53">
        <f>($A131=Esc_6c!E$9)*AE131/(12*_xlfn.XLOOKUP(AR$15,sexo_cnu,cnu_noc))</f>
        <v>0</v>
      </c>
      <c r="AS131" s="53">
        <f>($A131=Esc_6c!D$9)*AF131/(12*_xlfn.XLOOKUP(AS$15,sexo_cnu,cnu_noc))</f>
        <v>0</v>
      </c>
      <c r="AT131" s="53">
        <f>($A131=Esc_6c!E$9)*AG131/(12*_xlfn.XLOOKUP(AT$15,sexo_cnu,cnu_noc))</f>
        <v>0</v>
      </c>
      <c r="AU131" s="39"/>
      <c r="AV131" s="39"/>
    </row>
    <row r="132" spans="1:48" x14ac:dyDescent="0.25">
      <c r="A132" s="30">
        <v>2097</v>
      </c>
      <c r="B132" s="33">
        <f>w_uf*UF*Parámetros!C119</f>
        <v>2129785.0734787937</v>
      </c>
      <c r="C132" s="30" t="str">
        <f t="shared" si="50"/>
        <v/>
      </c>
      <c r="D132" s="30">
        <f>((A132=Inputs!$C$12)*(Inputs!$D$12) + (A132=Inputs!$C$13)*(Inputs!$D$13) + (A132=Inputs!$C$14)*(Inputs!$D$14)) *(A132 &gt;= a_afil)*(A132&gt;=2024)</f>
        <v>0</v>
      </c>
      <c r="E132" s="30">
        <f>MIN(1,(A132=Inputs!$C$19)*Inputs!$D$19+(A132=Inputs!$C$20)*Inputs!$D$20+(A132=Inputs!$C$21)*Inputs!$D$21*(A132 &gt;= a_afil))</f>
        <v>0</v>
      </c>
      <c r="F132" s="30">
        <f t="shared" si="51"/>
        <v>0</v>
      </c>
      <c r="G132" s="30">
        <f t="shared" si="52"/>
        <v>0</v>
      </c>
      <c r="H132" s="30">
        <v>0.74178069829940796</v>
      </c>
      <c r="I132" s="37">
        <f t="shared" si="57"/>
        <v>0</v>
      </c>
      <c r="J132" s="37">
        <f t="shared" si="58"/>
        <v>0</v>
      </c>
      <c r="K132" s="30">
        <f>1*OR(Inputs!$D$17=$A132,Inputs!$E$17=$A132)*($E132=0)*(F132=1)</f>
        <v>0</v>
      </c>
      <c r="L132" s="30">
        <f>1*OR(Inputs!$D$17=$A132,Inputs!$E$17=$A132)*($E132=0)*(G132=1)</f>
        <v>0</v>
      </c>
      <c r="M132" s="73">
        <f t="shared" si="65"/>
        <v>0</v>
      </c>
      <c r="N132" s="73">
        <f t="shared" si="66"/>
        <v>0</v>
      </c>
      <c r="O132" s="55">
        <f>MIN(Parámetros!$E119, _xlfn.XLOOKUP($A132,agnos,tope_ref_col)*UF)*12*I132*$P$14</f>
        <v>0</v>
      </c>
      <c r="P132" s="55">
        <f>MIN(Parámetros!$E119, _xlfn.XLOOKUP($A132,agnos,tope_ref_col)*UF)*12*J132*$P$14</f>
        <v>0</v>
      </c>
      <c r="Q132" s="70">
        <f t="shared" si="53"/>
        <v>0</v>
      </c>
      <c r="R132" s="70">
        <f t="shared" si="54"/>
        <v>0</v>
      </c>
      <c r="S132" s="68">
        <f t="shared" si="61"/>
        <v>0</v>
      </c>
      <c r="T132" s="68">
        <f t="shared" si="62"/>
        <v>0</v>
      </c>
      <c r="U132" s="38"/>
      <c r="V132" s="55">
        <f>IF($A132&gt;Esc_6c!D$9,0,M132*alpha  +V131*(1+i_noc))</f>
        <v>0</v>
      </c>
      <c r="W132" s="55">
        <f>IF($A132&gt;Esc_6c!E$9,0,N132*alpha  +W131*(1+i_noc))</f>
        <v>0</v>
      </c>
      <c r="X132" s="55">
        <f>IF($A132&gt;Esc_6c!D$9,0,O132*(1-alpha)+X131*(1+i_noc))</f>
        <v>0</v>
      </c>
      <c r="Y132" s="55">
        <f>IF($A132&gt;Esc_6c!E$9,0,P132*(1-alpha)+Y131*(1+i_noc))</f>
        <v>0</v>
      </c>
      <c r="Z132" s="54">
        <f t="shared" si="55"/>
        <v>0</v>
      </c>
      <c r="AA132" s="54">
        <f t="shared" si="56"/>
        <v>0</v>
      </c>
      <c r="AB132" s="55">
        <f t="shared" si="63"/>
        <v>0</v>
      </c>
      <c r="AC132" s="55">
        <f t="shared" si="64"/>
        <v>0</v>
      </c>
      <c r="AD132" s="53">
        <f>D132*mmater*Parámetros!$G119*$W$14+AD131*(1+i_noc)</f>
        <v>0</v>
      </c>
      <c r="AE132" s="53">
        <f>E132*12*Parámetros!$F119*$W$14+AE131*(1+i_noc)</f>
        <v>4898591.9822612898</v>
      </c>
      <c r="AF132" s="53">
        <f t="shared" si="59"/>
        <v>520964.06199339661</v>
      </c>
      <c r="AG132" s="53">
        <f t="shared" si="60"/>
        <v>520964.06199339661</v>
      </c>
      <c r="AI132" s="74">
        <f>($A132=Esc_6c!D$9)*Z132/(12*_xlfn.XLOOKUP(AI$15,sexo_cnu,cnu))</f>
        <v>0</v>
      </c>
      <c r="AJ132" s="74">
        <f>($A132=Esc_6c!E$9)*AA132/(12*_xlfn.XLOOKUP(AJ$15,sexo_cnu,cnu))</f>
        <v>0</v>
      </c>
      <c r="AK132" s="74">
        <f>($A132=Esc_6c!D$9)*AB132/(12*_xlfn.XLOOKUP(AK$15,sexo_cnu,cnu))</f>
        <v>0</v>
      </c>
      <c r="AL132" s="74">
        <f>($A132=Esc_6c!E$9)*AC132/(12*_xlfn.XLOOKUP(AL$15,sexo_cnu,cnu))</f>
        <v>0</v>
      </c>
      <c r="AM132" s="53">
        <f>($A132=Esc_6c!D$9)*V132/(12*_xlfn.XLOOKUP(AM$15,sexo_cnu,cnu_noc))</f>
        <v>0</v>
      </c>
      <c r="AN132" s="53">
        <f>($A132=Esc_6c!E$9)*W132/(12*_xlfn.XLOOKUP(AN$15,sexo_cnu,cnu_noc))</f>
        <v>0</v>
      </c>
      <c r="AO132" s="53">
        <f>($A132=Esc_6c!D$9)*X132/(12*_xlfn.XLOOKUP(AO$15,sexo_cnu,cnu_noc))</f>
        <v>0</v>
      </c>
      <c r="AP132" s="53">
        <f>($A132=Esc_6c!E$9)*Y132/(12*_xlfn.XLOOKUP(AP$15,sexo_cnu,cnu_noc))</f>
        <v>0</v>
      </c>
      <c r="AQ132" s="53">
        <f>($A132=Esc_6c!E$9)*AD132/(12*_xlfn.XLOOKUP(AQ$15,sexo_cnu,cnu_noc))</f>
        <v>0</v>
      </c>
      <c r="AR132" s="53">
        <f>($A132=Esc_6c!E$9)*AE132/(12*_xlfn.XLOOKUP(AR$15,sexo_cnu,cnu_noc))</f>
        <v>0</v>
      </c>
      <c r="AS132" s="53">
        <f>($A132=Esc_6c!D$9)*AF132/(12*_xlfn.XLOOKUP(AS$15,sexo_cnu,cnu_noc))</f>
        <v>0</v>
      </c>
      <c r="AT132" s="53">
        <f>($A132=Esc_6c!E$9)*AG132/(12*_xlfn.XLOOKUP(AT$15,sexo_cnu,cnu_noc))</f>
        <v>0</v>
      </c>
      <c r="AU132" s="39"/>
      <c r="AV132" s="39"/>
    </row>
    <row r="133" spans="1:48" x14ac:dyDescent="0.25">
      <c r="A133" s="30">
        <v>2098</v>
      </c>
      <c r="B133" s="33">
        <f>w_uf*UF*Parámetros!C120</f>
        <v>2156407.3868972789</v>
      </c>
      <c r="C133" s="30" t="str">
        <f t="shared" si="50"/>
        <v/>
      </c>
      <c r="D133" s="30">
        <f>((A133=Inputs!$C$12)*(Inputs!$D$12) + (A133=Inputs!$C$13)*(Inputs!$D$13) + (A133=Inputs!$C$14)*(Inputs!$D$14)) *(A133 &gt;= a_afil)*(A133&gt;=2024)</f>
        <v>0</v>
      </c>
      <c r="E133" s="30">
        <f>MIN(1,(A133=Inputs!$C$19)*Inputs!$D$19+(A133=Inputs!$C$20)*Inputs!$D$20+(A133=Inputs!$C$21)*Inputs!$D$21*(A133 &gt;= a_afil))</f>
        <v>0</v>
      </c>
      <c r="F133" s="30">
        <f t="shared" si="51"/>
        <v>0</v>
      </c>
      <c r="G133" s="30">
        <f t="shared" si="52"/>
        <v>0</v>
      </c>
      <c r="H133" s="30">
        <v>0.43766391277313232</v>
      </c>
      <c r="I133" s="37">
        <f t="shared" si="57"/>
        <v>0</v>
      </c>
      <c r="J133" s="37">
        <f t="shared" si="58"/>
        <v>0</v>
      </c>
      <c r="K133" s="30">
        <f>1*OR(Inputs!$D$17=$A133,Inputs!$E$17=$A133)*($E133=0)*(F133=1)</f>
        <v>0</v>
      </c>
      <c r="L133" s="30">
        <f>1*OR(Inputs!$D$17=$A133,Inputs!$E$17=$A133)*($E133=0)*(G133=1)</f>
        <v>0</v>
      </c>
      <c r="M133" s="73">
        <f t="shared" si="65"/>
        <v>0</v>
      </c>
      <c r="N133" s="73">
        <f t="shared" si="66"/>
        <v>0</v>
      </c>
      <c r="O133" s="55">
        <f>MIN(Parámetros!$E120, _xlfn.XLOOKUP($A133,agnos,tope_ref_col)*UF)*12*I133*$P$14</f>
        <v>0</v>
      </c>
      <c r="P133" s="55">
        <f>MIN(Parámetros!$E120, _xlfn.XLOOKUP($A133,agnos,tope_ref_col)*UF)*12*J133*$P$14</f>
        <v>0</v>
      </c>
      <c r="Q133" s="70">
        <f t="shared" si="53"/>
        <v>0</v>
      </c>
      <c r="R133" s="70">
        <f t="shared" si="54"/>
        <v>0</v>
      </c>
      <c r="S133" s="68">
        <f t="shared" si="61"/>
        <v>0</v>
      </c>
      <c r="T133" s="68">
        <f t="shared" si="62"/>
        <v>0</v>
      </c>
      <c r="U133" s="38"/>
      <c r="V133" s="55">
        <f>IF($A133&gt;Esc_6c!D$9,0,M133*alpha  +V132*(1+i_noc))</f>
        <v>0</v>
      </c>
      <c r="W133" s="55">
        <f>IF($A133&gt;Esc_6c!E$9,0,N133*alpha  +W132*(1+i_noc))</f>
        <v>0</v>
      </c>
      <c r="X133" s="55">
        <f>IF($A133&gt;Esc_6c!D$9,0,O133*(1-alpha)+X132*(1+i_noc))</f>
        <v>0</v>
      </c>
      <c r="Y133" s="55">
        <f>IF($A133&gt;Esc_6c!E$9,0,P133*(1-alpha)+Y132*(1+i_noc))</f>
        <v>0</v>
      </c>
      <c r="Z133" s="54">
        <f t="shared" si="55"/>
        <v>0</v>
      </c>
      <c r="AA133" s="54">
        <f t="shared" si="56"/>
        <v>0</v>
      </c>
      <c r="AB133" s="55">
        <f t="shared" si="63"/>
        <v>0</v>
      </c>
      <c r="AC133" s="55">
        <f t="shared" si="64"/>
        <v>0</v>
      </c>
      <c r="AD133" s="53">
        <f>D133*mmater*Parámetros!$G120*$W$14+AD132*(1+i_noc)</f>
        <v>0</v>
      </c>
      <c r="AE133" s="53">
        <f>E133*12*Parámetros!$F120*$W$14+AE132*(1+i_noc)</f>
        <v>4996563.8219065154</v>
      </c>
      <c r="AF133" s="53">
        <f t="shared" si="59"/>
        <v>531383.34323326452</v>
      </c>
      <c r="AG133" s="53">
        <f t="shared" si="60"/>
        <v>531383.34323326452</v>
      </c>
      <c r="AI133" s="74">
        <f>($A133=Esc_6c!D$9)*Z133/(12*_xlfn.XLOOKUP(AI$15,sexo_cnu,cnu))</f>
        <v>0</v>
      </c>
      <c r="AJ133" s="74">
        <f>($A133=Esc_6c!E$9)*AA133/(12*_xlfn.XLOOKUP(AJ$15,sexo_cnu,cnu))</f>
        <v>0</v>
      </c>
      <c r="AK133" s="74">
        <f>($A133=Esc_6c!D$9)*AB133/(12*_xlfn.XLOOKUP(AK$15,sexo_cnu,cnu))</f>
        <v>0</v>
      </c>
      <c r="AL133" s="74">
        <f>($A133=Esc_6c!E$9)*AC133/(12*_xlfn.XLOOKUP(AL$15,sexo_cnu,cnu))</f>
        <v>0</v>
      </c>
      <c r="AM133" s="53">
        <f>($A133=Esc_6c!D$9)*V133/(12*_xlfn.XLOOKUP(AM$15,sexo_cnu,cnu_noc))</f>
        <v>0</v>
      </c>
      <c r="AN133" s="53">
        <f>($A133=Esc_6c!E$9)*W133/(12*_xlfn.XLOOKUP(AN$15,sexo_cnu,cnu_noc))</f>
        <v>0</v>
      </c>
      <c r="AO133" s="53">
        <f>($A133=Esc_6c!D$9)*X133/(12*_xlfn.XLOOKUP(AO$15,sexo_cnu,cnu_noc))</f>
        <v>0</v>
      </c>
      <c r="AP133" s="53">
        <f>($A133=Esc_6c!E$9)*Y133/(12*_xlfn.XLOOKUP(AP$15,sexo_cnu,cnu_noc))</f>
        <v>0</v>
      </c>
      <c r="AQ133" s="53">
        <f>($A133=Esc_6c!E$9)*AD133/(12*_xlfn.XLOOKUP(AQ$15,sexo_cnu,cnu_noc))</f>
        <v>0</v>
      </c>
      <c r="AR133" s="53">
        <f>($A133=Esc_6c!E$9)*AE133/(12*_xlfn.XLOOKUP(AR$15,sexo_cnu,cnu_noc))</f>
        <v>0</v>
      </c>
      <c r="AS133" s="53">
        <f>($A133=Esc_6c!D$9)*AF133/(12*_xlfn.XLOOKUP(AS$15,sexo_cnu,cnu_noc))</f>
        <v>0</v>
      </c>
      <c r="AT133" s="53">
        <f>($A133=Esc_6c!E$9)*AG133/(12*_xlfn.XLOOKUP(AT$15,sexo_cnu,cnu_noc))</f>
        <v>0</v>
      </c>
      <c r="AU133" s="39"/>
      <c r="AV133" s="39"/>
    </row>
    <row r="134" spans="1:48" x14ac:dyDescent="0.25">
      <c r="A134" s="30">
        <v>2099</v>
      </c>
      <c r="B134" s="33">
        <f>w_uf*UF*Parámetros!C121</f>
        <v>2183362.4792334945</v>
      </c>
      <c r="C134" s="30" t="str">
        <f t="shared" si="50"/>
        <v/>
      </c>
      <c r="D134" s="30">
        <f>((A134=Inputs!$C$12)*(Inputs!$D$12) + (A134=Inputs!$C$13)*(Inputs!$D$13) + (A134=Inputs!$C$14)*(Inputs!$D$14)) *(A134 &gt;= a_afil)*(A134&gt;=2024)</f>
        <v>0</v>
      </c>
      <c r="E134" s="30">
        <f>MIN(1,(A134=Inputs!$C$19)*Inputs!$D$19+(A134=Inputs!$C$20)*Inputs!$D$20+(A134=Inputs!$C$21)*Inputs!$D$21*(A134 &gt;= a_afil))</f>
        <v>0</v>
      </c>
      <c r="F134" s="30">
        <f t="shared" si="51"/>
        <v>0</v>
      </c>
      <c r="G134" s="30">
        <f t="shared" si="52"/>
        <v>0</v>
      </c>
      <c r="H134" s="30">
        <v>7.7980577945709229E-2</v>
      </c>
      <c r="I134" s="37">
        <f t="shared" si="57"/>
        <v>0</v>
      </c>
      <c r="J134" s="37">
        <f t="shared" si="58"/>
        <v>0</v>
      </c>
      <c r="K134" s="30">
        <f>1*OR(Inputs!$D$17=$A134,Inputs!$E$17=$A134)*($E134=0)*(F134=1)</f>
        <v>0</v>
      </c>
      <c r="L134" s="30">
        <f>1*OR(Inputs!$D$17=$A134,Inputs!$E$17=$A134)*($E134=0)*(G134=1)</f>
        <v>0</v>
      </c>
      <c r="M134" s="73">
        <f t="shared" si="65"/>
        <v>0</v>
      </c>
      <c r="N134" s="73">
        <f t="shared" si="66"/>
        <v>0</v>
      </c>
      <c r="O134" s="55">
        <f>MIN(Parámetros!$E121, _xlfn.XLOOKUP($A134,agnos,tope_ref_col)*UF)*12*I134*$P$14</f>
        <v>0</v>
      </c>
      <c r="P134" s="55">
        <f>MIN(Parámetros!$E121, _xlfn.XLOOKUP($A134,agnos,tope_ref_col)*UF)*12*J134*$P$14</f>
        <v>0</v>
      </c>
      <c r="Q134" s="70">
        <f t="shared" si="53"/>
        <v>0</v>
      </c>
      <c r="R134" s="70">
        <f t="shared" si="54"/>
        <v>0</v>
      </c>
      <c r="S134" s="68">
        <f t="shared" si="61"/>
        <v>0</v>
      </c>
      <c r="T134" s="68">
        <f t="shared" si="62"/>
        <v>0</v>
      </c>
      <c r="U134" s="38"/>
      <c r="V134" s="55">
        <f>IF($A134&gt;Esc_6c!D$9,0,M134*alpha  +V133*(1+i_noc))</f>
        <v>0</v>
      </c>
      <c r="W134" s="55">
        <f>IF($A134&gt;Esc_6c!E$9,0,N134*alpha  +W133*(1+i_noc))</f>
        <v>0</v>
      </c>
      <c r="X134" s="55">
        <f>IF($A134&gt;Esc_6c!D$9,0,O134*(1-alpha)+X133*(1+i_noc))</f>
        <v>0</v>
      </c>
      <c r="Y134" s="55">
        <f>IF($A134&gt;Esc_6c!E$9,0,P134*(1-alpha)+Y133*(1+i_noc))</f>
        <v>0</v>
      </c>
      <c r="Z134" s="54">
        <f t="shared" si="55"/>
        <v>0</v>
      </c>
      <c r="AA134" s="54">
        <f t="shared" si="56"/>
        <v>0</v>
      </c>
      <c r="AB134" s="55">
        <f t="shared" si="63"/>
        <v>0</v>
      </c>
      <c r="AC134" s="55">
        <f t="shared" si="64"/>
        <v>0</v>
      </c>
      <c r="AD134" s="53">
        <f>D134*mmater*Parámetros!$G121*$W$14+AD133*(1+i_noc)</f>
        <v>0</v>
      </c>
      <c r="AE134" s="53">
        <f>E134*12*Parámetros!$F121*$W$14+AE133*(1+i_noc)</f>
        <v>5096495.0983446455</v>
      </c>
      <c r="AF134" s="53">
        <f t="shared" si="59"/>
        <v>542011.01009792986</v>
      </c>
      <c r="AG134" s="53">
        <f t="shared" si="60"/>
        <v>542011.01009792986</v>
      </c>
      <c r="AI134" s="74">
        <f>($A134=Esc_6c!D$9)*Z134/(12*_xlfn.XLOOKUP(AI$15,sexo_cnu,cnu))</f>
        <v>0</v>
      </c>
      <c r="AJ134" s="74">
        <f>($A134=Esc_6c!E$9)*AA134/(12*_xlfn.XLOOKUP(AJ$15,sexo_cnu,cnu))</f>
        <v>0</v>
      </c>
      <c r="AK134" s="74">
        <f>($A134=Esc_6c!D$9)*AB134/(12*_xlfn.XLOOKUP(AK$15,sexo_cnu,cnu))</f>
        <v>0</v>
      </c>
      <c r="AL134" s="74">
        <f>($A134=Esc_6c!E$9)*AC134/(12*_xlfn.XLOOKUP(AL$15,sexo_cnu,cnu))</f>
        <v>0</v>
      </c>
      <c r="AM134" s="53">
        <f>($A134=Esc_6c!D$9)*V134/(12*_xlfn.XLOOKUP(AM$15,sexo_cnu,cnu_noc))</f>
        <v>0</v>
      </c>
      <c r="AN134" s="53">
        <f>($A134=Esc_6c!E$9)*W134/(12*_xlfn.XLOOKUP(AN$15,sexo_cnu,cnu_noc))</f>
        <v>0</v>
      </c>
      <c r="AO134" s="53">
        <f>($A134=Esc_6c!D$9)*X134/(12*_xlfn.XLOOKUP(AO$15,sexo_cnu,cnu_noc))</f>
        <v>0</v>
      </c>
      <c r="AP134" s="53">
        <f>($A134=Esc_6c!E$9)*Y134/(12*_xlfn.XLOOKUP(AP$15,sexo_cnu,cnu_noc))</f>
        <v>0</v>
      </c>
      <c r="AQ134" s="53">
        <f>($A134=Esc_6c!E$9)*AD134/(12*_xlfn.XLOOKUP(AQ$15,sexo_cnu,cnu_noc))</f>
        <v>0</v>
      </c>
      <c r="AR134" s="53">
        <f>($A134=Esc_6c!E$9)*AE134/(12*_xlfn.XLOOKUP(AR$15,sexo_cnu,cnu_noc))</f>
        <v>0</v>
      </c>
      <c r="AS134" s="53">
        <f>($A134=Esc_6c!D$9)*AF134/(12*_xlfn.XLOOKUP(AS$15,sexo_cnu,cnu_noc))</f>
        <v>0</v>
      </c>
      <c r="AT134" s="53">
        <f>($A134=Esc_6c!E$9)*AG134/(12*_xlfn.XLOOKUP(AT$15,sexo_cnu,cnu_noc))</f>
        <v>0</v>
      </c>
      <c r="AU134" s="39"/>
      <c r="AV134" s="39"/>
    </row>
    <row r="135" spans="1:48" x14ac:dyDescent="0.25">
      <c r="A135" s="30">
        <v>2100</v>
      </c>
      <c r="B135" s="33">
        <f>w_uf*UF*Parámetros!C122</f>
        <v>2210654.510223913</v>
      </c>
      <c r="C135" s="30" t="str">
        <f t="shared" si="50"/>
        <v/>
      </c>
      <c r="D135" s="30">
        <f>((A135=Inputs!$C$12)*(Inputs!$D$12) + (A135=Inputs!$C$13)*(Inputs!$D$13) + (A135=Inputs!$C$14)*(Inputs!$D$14)) *(A135 &gt;= a_afil)*(A135&gt;=2024)</f>
        <v>0</v>
      </c>
      <c r="E135" s="30">
        <f>MIN(1,(A135=Inputs!$C$19)*Inputs!$D$19+(A135=Inputs!$C$20)*Inputs!$D$20+(A135=Inputs!$C$21)*Inputs!$D$21*(A135 &gt;= a_afil))</f>
        <v>0</v>
      </c>
      <c r="F135" s="30">
        <f xml:space="preserve"> (C135&lt;edad_ret_h) * (A135&gt;=a_afil)</f>
        <v>0</v>
      </c>
      <c r="G135" s="30">
        <f xml:space="preserve"> (C135&lt;edad_ret_m) * (A135&gt;=a_afil)</f>
        <v>0</v>
      </c>
      <c r="H135" s="30">
        <v>0.41063165664672852</v>
      </c>
      <c r="I135" s="37">
        <f>IF(F135=1,+dens_cot,0)</f>
        <v>0</v>
      </c>
      <c r="J135" s="37">
        <f>IF(G135=1,+dens_mujer,0)</f>
        <v>0</v>
      </c>
      <c r="K135" s="30">
        <f>1*OR(Inputs!$D$17=$A135,Inputs!$E$17=$A135)*($E135=0)*(F135=1)</f>
        <v>0</v>
      </c>
      <c r="L135" s="30">
        <f>1*OR(Inputs!$D$17=$A135,Inputs!$E$17=$A135)*($E135=0)*(G135=1)</f>
        <v>0</v>
      </c>
      <c r="M135" s="73">
        <f t="shared" si="65"/>
        <v>0</v>
      </c>
      <c r="N135" s="73">
        <f t="shared" si="66"/>
        <v>0</v>
      </c>
      <c r="O135" s="55">
        <f>MIN(Parámetros!$E122, _xlfn.XLOOKUP($A135,agnos,tope_ref_col)*UF)*12*I135*$P$14</f>
        <v>0</v>
      </c>
      <c r="P135" s="55">
        <f>MIN(Parámetros!$E122, _xlfn.XLOOKUP($A135,agnos,tope_ref_col)*UF)*12*J135*$P$14</f>
        <v>0</v>
      </c>
      <c r="Q135" s="70">
        <f t="shared" si="53"/>
        <v>0</v>
      </c>
      <c r="R135" s="70">
        <f t="shared" si="54"/>
        <v>0</v>
      </c>
      <c r="S135" s="68">
        <f t="shared" si="61"/>
        <v>0</v>
      </c>
      <c r="T135" s="68">
        <f t="shared" si="62"/>
        <v>0</v>
      </c>
      <c r="U135" s="38"/>
      <c r="V135" s="55">
        <f>IF($A135&gt;Esc_6c!D$9,0,M135*alpha  +V134*(1+i_noc))</f>
        <v>0</v>
      </c>
      <c r="W135" s="55">
        <f>IF($A135&gt;Esc_6c!E$9,0,N135*alpha  +W134*(1+i_noc))</f>
        <v>0</v>
      </c>
      <c r="X135" s="55">
        <f>IF($A135&gt;Esc_6c!D$9,0,O135*(1-alpha)+X134*(1+i_noc))</f>
        <v>0</v>
      </c>
      <c r="Y135" s="55">
        <f>IF($A135&gt;Esc_6c!E$9,0,P135*(1-alpha)+Y134*(1+i_noc))</f>
        <v>0</v>
      </c>
      <c r="Z135" s="54">
        <f t="shared" si="55"/>
        <v>0</v>
      </c>
      <c r="AA135" s="54">
        <f t="shared" si="56"/>
        <v>0</v>
      </c>
      <c r="AB135" s="55">
        <f t="shared" si="63"/>
        <v>0</v>
      </c>
      <c r="AC135" s="55">
        <f t="shared" si="64"/>
        <v>0</v>
      </c>
      <c r="AD135" s="53">
        <f>D135*mmater*Parámetros!$G122*$W$14+AD134*(1+i_noc)</f>
        <v>0</v>
      </c>
      <c r="AE135" s="53">
        <f>E135*12*Parámetros!$F122*$W$14+AE134*(1+i_noc)</f>
        <v>5198425.0003115386</v>
      </c>
      <c r="AF135" s="53">
        <f t="shared" si="59"/>
        <v>552851.23029988841</v>
      </c>
      <c r="AG135" s="53">
        <f t="shared" si="60"/>
        <v>552851.23029988841</v>
      </c>
      <c r="AI135" s="74">
        <f>($A135=Esc_6c!D$9)*Z135/(12*_xlfn.XLOOKUP(AI$15,sexo_cnu,cnu))</f>
        <v>0</v>
      </c>
      <c r="AJ135" s="74">
        <f>($A135=Esc_6c!E$9)*AA135/(12*_xlfn.XLOOKUP(AJ$15,sexo_cnu,cnu))</f>
        <v>0</v>
      </c>
      <c r="AK135" s="74">
        <f>($A135=Esc_6c!D$9)*AB135/(12*_xlfn.XLOOKUP(AK$15,sexo_cnu,cnu))</f>
        <v>0</v>
      </c>
      <c r="AL135" s="74">
        <f>($A135=Esc_6c!E$9)*AC135/(12*_xlfn.XLOOKUP(AL$15,sexo_cnu,cnu))</f>
        <v>0</v>
      </c>
      <c r="AM135" s="53">
        <f>($A135=Esc_6c!D$9)*V135/(12*_xlfn.XLOOKUP(AM$15,sexo_cnu,cnu_noc))</f>
        <v>0</v>
      </c>
      <c r="AN135" s="53">
        <f>($A135=Esc_6c!E$9)*W135/(12*_xlfn.XLOOKUP(AN$15,sexo_cnu,cnu_noc))</f>
        <v>0</v>
      </c>
      <c r="AO135" s="53">
        <f>($A135=Esc_6c!D$9)*X135/(12*_xlfn.XLOOKUP(AO$15,sexo_cnu,cnu_noc))</f>
        <v>0</v>
      </c>
      <c r="AP135" s="53">
        <f>($A135=Esc_6c!E$9)*Y135/(12*_xlfn.XLOOKUP(AP$15,sexo_cnu,cnu_noc))</f>
        <v>0</v>
      </c>
      <c r="AQ135" s="53">
        <f>($A135=Esc_6c!E$9)*AD135/(12*_xlfn.XLOOKUP(AQ$15,sexo_cnu,cnu_noc))</f>
        <v>0</v>
      </c>
      <c r="AR135" s="53">
        <f>($A135=Esc_6c!E$9)*AE135/(12*_xlfn.XLOOKUP(AR$15,sexo_cnu,cnu_noc))</f>
        <v>0</v>
      </c>
      <c r="AS135" s="53">
        <f>($A135=Esc_6c!D$9)*AF135/(12*_xlfn.XLOOKUP(AS$15,sexo_cnu,cnu_noc))</f>
        <v>0</v>
      </c>
      <c r="AT135" s="53">
        <f>($A135=Esc_6c!E$9)*AG135/(12*_xlfn.XLOOKUP(AT$15,sexo_cnu,cnu_noc))</f>
        <v>0</v>
      </c>
      <c r="AU135" s="39"/>
      <c r="AV135" s="39"/>
    </row>
    <row r="136" spans="1:48" x14ac:dyDescent="0.25">
      <c r="AI136" s="33"/>
      <c r="AJ136" s="33"/>
      <c r="AM136" s="30"/>
      <c r="AN136" s="30"/>
      <c r="AO136" s="30"/>
      <c r="AP136" s="30"/>
    </row>
    <row r="137" spans="1:48" x14ac:dyDescent="0.25">
      <c r="AQ137" s="65"/>
    </row>
    <row r="138" spans="1:48" x14ac:dyDescent="0.25">
      <c r="AI138" s="33"/>
      <c r="AJ138" s="33"/>
      <c r="AM138" s="30"/>
      <c r="AN138" s="30"/>
      <c r="AO138" s="30"/>
      <c r="AP138" s="30"/>
    </row>
    <row r="139" spans="1:48" x14ac:dyDescent="0.25">
      <c r="AI139" s="33"/>
      <c r="AJ139" s="33"/>
      <c r="AM139" s="30"/>
      <c r="AN139" s="30"/>
      <c r="AO139" s="30"/>
      <c r="AP139" s="30"/>
    </row>
    <row r="140" spans="1:48" x14ac:dyDescent="0.25">
      <c r="AI140" s="33"/>
      <c r="AJ140" s="33"/>
      <c r="AM140" s="30"/>
      <c r="AN140" s="30"/>
      <c r="AO140" s="30"/>
      <c r="AP140" s="30"/>
    </row>
    <row r="141" spans="1:48" x14ac:dyDescent="0.25">
      <c r="AI141" s="33"/>
      <c r="AJ141" s="33"/>
      <c r="AM141" s="30"/>
      <c r="AN141" s="30"/>
      <c r="AO141" s="30"/>
      <c r="AP141" s="30"/>
    </row>
    <row r="142" spans="1:48" x14ac:dyDescent="0.25">
      <c r="AI142" s="33"/>
      <c r="AJ142" s="33"/>
      <c r="AO142" s="30"/>
      <c r="AP142" s="30"/>
    </row>
    <row r="143" spans="1:48" x14ac:dyDescent="0.25">
      <c r="AI143" s="33"/>
      <c r="AJ143" s="33"/>
      <c r="AO143" s="30"/>
      <c r="AP143" s="30"/>
    </row>
    <row r="144" spans="1:48" x14ac:dyDescent="0.25">
      <c r="AI144" s="33"/>
      <c r="AJ144" s="33"/>
      <c r="AO144" s="30"/>
      <c r="AP144" s="30"/>
    </row>
    <row r="145" spans="16:42" x14ac:dyDescent="0.25">
      <c r="AI145" s="33"/>
      <c r="AJ145" s="33"/>
      <c r="AO145" s="30"/>
      <c r="AP145" s="30"/>
    </row>
    <row r="146" spans="16:42" x14ac:dyDescent="0.25">
      <c r="AI146" s="33"/>
      <c r="AJ146" s="33"/>
      <c r="AO146" s="30"/>
      <c r="AP146" s="30"/>
    </row>
    <row r="147" spans="16:42" x14ac:dyDescent="0.25">
      <c r="AI147" s="33"/>
      <c r="AJ147" s="33"/>
      <c r="AO147" s="30"/>
      <c r="AP147" s="30"/>
    </row>
    <row r="148" spans="16:42" x14ac:dyDescent="0.25">
      <c r="AI148" s="33"/>
      <c r="AJ148" s="33"/>
      <c r="AO148" s="30"/>
      <c r="AP148" s="30"/>
    </row>
    <row r="149" spans="16:42" x14ac:dyDescent="0.25">
      <c r="P149" s="34"/>
      <c r="AI149" s="33"/>
      <c r="AJ149" s="33"/>
      <c r="AO149" s="30"/>
      <c r="AP149" s="30"/>
    </row>
    <row r="150" spans="16:42" x14ac:dyDescent="0.25">
      <c r="P150" s="34"/>
      <c r="AI150" s="33"/>
      <c r="AJ150" s="33"/>
      <c r="AO150" s="30"/>
      <c r="AP150" s="30"/>
    </row>
    <row r="151" spans="16:42" x14ac:dyDescent="0.25">
      <c r="P151" s="34"/>
      <c r="AI151" s="33"/>
      <c r="AJ151" s="33"/>
      <c r="AO151" s="30"/>
      <c r="AP151" s="30"/>
    </row>
    <row r="152" spans="16:42" x14ac:dyDescent="0.25">
      <c r="P152" s="34"/>
    </row>
    <row r="153" spans="16:42" x14ac:dyDescent="0.25">
      <c r="P153" s="34"/>
    </row>
    <row r="154" spans="16:42" x14ac:dyDescent="0.25">
      <c r="P154" s="34"/>
    </row>
    <row r="155" spans="16:42" x14ac:dyDescent="0.25">
      <c r="P155" s="34"/>
    </row>
    <row r="156" spans="16:42" x14ac:dyDescent="0.25">
      <c r="P156" s="34"/>
    </row>
    <row r="157" spans="16:42" x14ac:dyDescent="0.25">
      <c r="P157" s="34"/>
    </row>
    <row r="158" spans="16:42" x14ac:dyDescent="0.25">
      <c r="P158" s="34"/>
    </row>
    <row r="159" spans="16:42" x14ac:dyDescent="0.25">
      <c r="P159" s="34"/>
    </row>
    <row r="160" spans="16:42" x14ac:dyDescent="0.25">
      <c r="P160" s="34"/>
    </row>
    <row r="161" spans="16:16" x14ac:dyDescent="0.25">
      <c r="P161" s="34"/>
    </row>
    <row r="162" spans="16:16" x14ac:dyDescent="0.25">
      <c r="P162" s="34"/>
    </row>
    <row r="163" spans="16:16" x14ac:dyDescent="0.25">
      <c r="P163" s="34"/>
    </row>
    <row r="164" spans="16:16" x14ac:dyDescent="0.25">
      <c r="P164" s="34"/>
    </row>
  </sheetData>
  <sheetProtection formatCells="0" formatColumns="0" formatRows="0" deleteColumns="0" deleteRows="0"/>
  <protectedRanges>
    <protectedRange sqref="H16:H135" name="Rango2"/>
  </protectedRanges>
  <mergeCells count="34">
    <mergeCell ref="AO13:AP14"/>
    <mergeCell ref="AQ13:AQ14"/>
    <mergeCell ref="AR13:AR14"/>
    <mergeCell ref="AS13:AT14"/>
    <mergeCell ref="B1:B2"/>
    <mergeCell ref="A12:A15"/>
    <mergeCell ref="Q13:R14"/>
    <mergeCell ref="S13:T14"/>
    <mergeCell ref="AD13:AD14"/>
    <mergeCell ref="Z13:AA14"/>
    <mergeCell ref="AB13:AC14"/>
    <mergeCell ref="M12:T12"/>
    <mergeCell ref="B13:B15"/>
    <mergeCell ref="C13:C15"/>
    <mergeCell ref="D13:E14"/>
    <mergeCell ref="F13:G14"/>
    <mergeCell ref="H13:H15"/>
    <mergeCell ref="K13:L14"/>
    <mergeCell ref="AU14:AV14"/>
    <mergeCell ref="D1:E1"/>
    <mergeCell ref="F1:G1"/>
    <mergeCell ref="H1:I1"/>
    <mergeCell ref="AD12:AG12"/>
    <mergeCell ref="V13:W13"/>
    <mergeCell ref="X13:Y13"/>
    <mergeCell ref="M13:N13"/>
    <mergeCell ref="O13:P13"/>
    <mergeCell ref="AE13:AE14"/>
    <mergeCell ref="AF13:AG14"/>
    <mergeCell ref="AI12:AJ14"/>
    <mergeCell ref="AK12:AL14"/>
    <mergeCell ref="I13:J14"/>
    <mergeCell ref="K1:M1"/>
    <mergeCell ref="AM13:AN14"/>
  </mergeCells>
  <conditionalFormatting sqref="D16:E135 K16:L135">
    <cfRule type="cellIs" dxfId="10" priority="1" operator="equal">
      <formula>1</formula>
    </cfRule>
  </conditionalFormatting>
  <hyperlinks>
    <hyperlink ref="AA6" location="'Variables externas'!AQ1" display="(ir a tabla de factores)" xr:uid="{DAAD06F7-FACC-4A94-B346-6621A095936E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D69B2-E605-4A1B-A305-151A7A03324F}">
  <sheetPr codeName="Hoja15">
    <tabColor theme="8" tint="0.79998168889431442"/>
  </sheetPr>
  <dimension ref="A1:BP150"/>
  <sheetViews>
    <sheetView zoomScale="85" zoomScaleNormal="85" workbookViewId="0">
      <pane xSplit="3" ySplit="15" topLeftCell="D16" activePane="bottomRight" state="frozen"/>
      <selection pane="topRight"/>
      <selection pane="bottomLeft"/>
      <selection pane="bottomRight"/>
    </sheetView>
  </sheetViews>
  <sheetFormatPr baseColWidth="10" defaultColWidth="4.28515625" defaultRowHeight="15" x14ac:dyDescent="0.25"/>
  <cols>
    <col min="1" max="1" width="8.5703125" style="30" customWidth="1"/>
    <col min="2" max="2" width="14.28515625" style="30" customWidth="1"/>
    <col min="3" max="3" width="4.28515625" style="30" customWidth="1"/>
    <col min="4" max="5" width="7.42578125" style="30" customWidth="1"/>
    <col min="6" max="12" width="6.28515625" style="30" customWidth="1"/>
    <col min="13" max="20" width="10.7109375" style="30" customWidth="1"/>
    <col min="21" max="21" width="4.140625" style="30" customWidth="1"/>
    <col min="22" max="31" width="12.140625" style="30" customWidth="1"/>
    <col min="32" max="32" width="12" style="30" customWidth="1"/>
    <col min="33" max="36" width="10.7109375" style="30" customWidth="1"/>
    <col min="37" max="42" width="10.7109375" style="33" customWidth="1"/>
    <col min="43" max="47" width="10.7109375" style="30" customWidth="1"/>
    <col min="48" max="48" width="12.7109375" style="30" bestFit="1" customWidth="1"/>
    <col min="49" max="52" width="10.7109375" style="30" customWidth="1"/>
    <col min="53" max="53" width="23" style="30" bestFit="1" customWidth="1"/>
    <col min="54" max="55" width="10.7109375" style="30" customWidth="1"/>
    <col min="56" max="67" width="5.7109375" style="30" customWidth="1"/>
    <col min="68" max="16384" width="4.28515625" style="30"/>
  </cols>
  <sheetData>
    <row r="1" spans="1:68" ht="32.25" customHeight="1" thickBot="1" x14ac:dyDescent="0.3">
      <c r="B1" s="34"/>
      <c r="C1" s="34"/>
      <c r="D1" s="34"/>
      <c r="E1" s="34"/>
      <c r="F1" s="34"/>
      <c r="G1" s="34"/>
      <c r="H1" s="34"/>
      <c r="I1" s="34"/>
      <c r="J1" s="34"/>
      <c r="K1" s="34"/>
      <c r="L1" s="96"/>
      <c r="M1" s="96"/>
      <c r="N1" s="96"/>
      <c r="O1" s="96"/>
      <c r="R1" s="85"/>
      <c r="X1" s="40"/>
      <c r="AC1" s="289" t="s">
        <v>252</v>
      </c>
      <c r="AD1" s="290"/>
      <c r="AE1" s="290"/>
      <c r="AF1" s="291"/>
      <c r="AI1" s="32"/>
      <c r="AJ1" s="323" t="s">
        <v>284</v>
      </c>
      <c r="AK1" s="321" t="s">
        <v>286</v>
      </c>
      <c r="AL1" s="322"/>
      <c r="AM1" s="321" t="s">
        <v>115</v>
      </c>
      <c r="AN1" s="322"/>
      <c r="AO1" s="321" t="s">
        <v>287</v>
      </c>
      <c r="AP1" s="322"/>
      <c r="AQ1" s="413" t="s">
        <v>285</v>
      </c>
      <c r="AR1" s="321" t="s">
        <v>288</v>
      </c>
      <c r="AS1" s="322"/>
      <c r="BA1" s="196"/>
      <c r="BB1" s="196" t="s">
        <v>110</v>
      </c>
      <c r="BC1" s="196" t="s">
        <v>111</v>
      </c>
    </row>
    <row r="2" spans="1:68" ht="15" customHeight="1" x14ac:dyDescent="0.25">
      <c r="B2" s="34"/>
      <c r="C2" s="34"/>
      <c r="D2" s="34"/>
      <c r="E2" s="34"/>
      <c r="F2" s="34"/>
      <c r="G2" s="34"/>
      <c r="H2" s="34"/>
      <c r="I2" s="34"/>
      <c r="J2" s="34"/>
      <c r="K2" s="34"/>
      <c r="L2" s="105"/>
      <c r="M2" s="105"/>
      <c r="N2" s="105"/>
      <c r="S2" s="85"/>
      <c r="V2" s="30" t="s">
        <v>162</v>
      </c>
      <c r="X2" s="166">
        <v>0.1</v>
      </c>
      <c r="Y2" s="30" t="s">
        <v>269</v>
      </c>
      <c r="AC2" s="33"/>
      <c r="AD2" s="33"/>
      <c r="AE2" s="57" t="s">
        <v>110</v>
      </c>
      <c r="AF2" s="32" t="s">
        <v>111</v>
      </c>
      <c r="AH2" s="136"/>
      <c r="AI2" s="324" t="s">
        <v>223</v>
      </c>
      <c r="AJ2" s="325" t="s">
        <v>222</v>
      </c>
      <c r="AK2" s="237" t="s">
        <v>165</v>
      </c>
      <c r="AL2" s="238" t="s">
        <v>166</v>
      </c>
      <c r="AM2" s="237" t="s">
        <v>165</v>
      </c>
      <c r="AN2" s="238" t="s">
        <v>166</v>
      </c>
      <c r="AO2" s="237" t="s">
        <v>165</v>
      </c>
      <c r="AP2" s="238" t="s">
        <v>166</v>
      </c>
      <c r="AQ2" s="414"/>
      <c r="AR2" s="237" t="s">
        <v>165</v>
      </c>
      <c r="AS2" s="238" t="s">
        <v>166</v>
      </c>
      <c r="BA2" s="65" t="str" cm="1">
        <f t="array" ref="BA2:BA10">beneficios</f>
        <v>PAFE (10%)</v>
      </c>
      <c r="BB2" s="320">
        <f>ROUND(AG$11,0)</f>
        <v>249562</v>
      </c>
      <c r="BC2" s="320">
        <f>ROUND(AH$11,0)</f>
        <v>222429</v>
      </c>
      <c r="BP2" s="71"/>
    </row>
    <row r="3" spans="1:68" ht="15" customHeight="1" x14ac:dyDescent="0.25">
      <c r="B3" s="34"/>
      <c r="C3" s="34"/>
      <c r="D3" s="34"/>
      <c r="E3" s="34"/>
      <c r="F3" s="34"/>
      <c r="G3" s="34"/>
      <c r="H3" s="34"/>
      <c r="I3" s="34"/>
      <c r="J3" s="34"/>
      <c r="K3" s="34"/>
      <c r="L3" s="71"/>
      <c r="M3" s="84"/>
      <c r="N3" s="85"/>
      <c r="O3" s="85"/>
      <c r="P3" s="85"/>
      <c r="Q3" s="85"/>
      <c r="R3" s="85"/>
      <c r="S3" s="85"/>
      <c r="V3" s="30" t="s">
        <v>162</v>
      </c>
      <c r="X3" s="166">
        <f>X2+0.5%</f>
        <v>0.10500000000000001</v>
      </c>
      <c r="Y3" s="47" t="s">
        <v>270</v>
      </c>
      <c r="AC3" s="30" t="s">
        <v>254</v>
      </c>
      <c r="AD3" s="33"/>
      <c r="AE3" s="33" cm="1">
        <f t="array" ref="AE3:AF3">edad_pafe</f>
        <v>65</v>
      </c>
      <c r="AF3" s="33">
        <v>60</v>
      </c>
      <c r="AH3" s="233" t="s">
        <v>112</v>
      </c>
      <c r="AI3" s="65">
        <v>1981</v>
      </c>
      <c r="AJ3" s="234">
        <v>2023</v>
      </c>
      <c r="AK3" s="235">
        <f t="shared" ref="AK3:AL8" si="0">SUMIFS(F$16:F$135,$A$16:$A$135,"&gt;="&amp;$AI3,$A$16:$A$135,"&lt;="&amp;$AJ3)</f>
        <v>21</v>
      </c>
      <c r="AL3" s="236">
        <f t="shared" si="0"/>
        <v>21</v>
      </c>
      <c r="AM3" s="235">
        <f t="shared" ref="AM3:AM9" si="1">AK3*dens_cot</f>
        <v>12.18</v>
      </c>
      <c r="AN3" s="236">
        <f t="shared" ref="AN3:AN9" si="2">AL3*dens_mujer</f>
        <v>12.18</v>
      </c>
      <c r="AO3" s="235">
        <f>_xlfn.LET(_xlpm.s,SUM(AO4:AO$8),MIN(tope_garantia-_xlpm.s,AM3))</f>
        <v>12.18</v>
      </c>
      <c r="AP3" s="236">
        <f>_xlfn.LET(_xlpm.s,SUM(AP4:AP$8),MIN(tope_garantia-_xlpm.s,AN3))</f>
        <v>12.18</v>
      </c>
      <c r="AQ3" s="241">
        <f t="shared" ref="AQ3:AQ8" si="3">_xlfn.XLOOKUP(AI3,agnos,gar_agno)</f>
        <v>0.1</v>
      </c>
      <c r="AR3" s="235">
        <f t="shared" ref="AR3:AS8" si="4">AO3*$AQ3</f>
        <v>1.218</v>
      </c>
      <c r="AS3" s="236">
        <f t="shared" si="4"/>
        <v>1.218</v>
      </c>
      <c r="BA3" s="30" t="str">
        <v>PAFE (CCICO reforma)</v>
      </c>
      <c r="BB3" s="38">
        <f>ROUND(AI$11,0)</f>
        <v>267207</v>
      </c>
      <c r="BC3" s="38">
        <f>ROUND(AJ$11,0)</f>
        <v>238155</v>
      </c>
      <c r="BP3" s="71"/>
    </row>
    <row r="4" spans="1:68" x14ac:dyDescent="0.25">
      <c r="B4" s="34"/>
      <c r="C4" s="34"/>
      <c r="D4" s="34"/>
      <c r="E4" s="34"/>
      <c r="F4" s="34"/>
      <c r="G4" s="34"/>
      <c r="H4" s="34"/>
      <c r="I4" s="34"/>
      <c r="J4" s="34"/>
      <c r="K4" s="34"/>
      <c r="L4" s="71"/>
      <c r="M4" s="84"/>
      <c r="N4" s="85"/>
      <c r="O4" s="85"/>
      <c r="P4" s="85"/>
      <c r="Q4" s="85"/>
      <c r="R4" s="85"/>
      <c r="S4" s="85"/>
      <c r="V4" s="30" t="s">
        <v>219</v>
      </c>
      <c r="X4" s="41">
        <v>0.02</v>
      </c>
      <c r="Y4" s="47"/>
      <c r="AC4" s="47" t="s">
        <v>211</v>
      </c>
      <c r="AD4" s="45"/>
      <c r="AE4" s="255">
        <f>_xlfn.XLOOKUP(AE3,$C$16:$C$135,X$16:X$135)/(12*_xlfn.XLOOKUP(AE$2,sexo_cnu,cnu_elp))</f>
        <v>249562.18907357016</v>
      </c>
      <c r="AF4" s="255">
        <f>_xlfn.XLOOKUP(AF3,$C$16:$C$135,Y$16:Y$135)/(12*_xlfn.XLOOKUP(AF$2,sexo_cnu,cnu_elp))</f>
        <v>158779.23425516335</v>
      </c>
      <c r="AH4" s="32" t="s">
        <v>113</v>
      </c>
      <c r="AI4" s="30">
        <f>AJ3+1</f>
        <v>2024</v>
      </c>
      <c r="AJ4" s="84">
        <f>AJ3+10</f>
        <v>2033</v>
      </c>
      <c r="AK4" s="229">
        <f t="shared" si="0"/>
        <v>10</v>
      </c>
      <c r="AL4" s="230">
        <f t="shared" si="0"/>
        <v>10</v>
      </c>
      <c r="AM4" s="229">
        <f t="shared" si="1"/>
        <v>5.8</v>
      </c>
      <c r="AN4" s="230">
        <f t="shared" si="2"/>
        <v>5.8</v>
      </c>
      <c r="AO4" s="229">
        <f>_xlfn.LET(_xlpm.s,SUM(AO5:AO$8),MIN(tope_garantia-_xlpm.s,AM4))</f>
        <v>5.8</v>
      </c>
      <c r="AP4" s="230">
        <f>_xlfn.LET(_xlpm.s,SUM(AP5:AP$8),MIN(tope_garantia-_xlpm.s,AN4))</f>
        <v>5.8</v>
      </c>
      <c r="AQ4" s="242">
        <f t="shared" si="3"/>
        <v>0.1</v>
      </c>
      <c r="AR4" s="229">
        <f t="shared" si="4"/>
        <v>0.57999999999999996</v>
      </c>
      <c r="AS4" s="230">
        <f t="shared" si="4"/>
        <v>0.57999999999999996</v>
      </c>
      <c r="BA4" s="30" t="str">
        <v>Aumento por cotización</v>
      </c>
      <c r="BB4" s="38">
        <f>BB3-BB2</f>
        <v>17645</v>
      </c>
      <c r="BC4" s="38">
        <f>BC3-BC2</f>
        <v>15726</v>
      </c>
      <c r="BP4" s="71"/>
    </row>
    <row r="5" spans="1:68" x14ac:dyDescent="0.25">
      <c r="B5" s="34"/>
      <c r="C5" s="34"/>
      <c r="D5" s="34"/>
      <c r="E5" s="34"/>
      <c r="F5" s="34"/>
      <c r="G5" s="34"/>
      <c r="H5" s="34"/>
      <c r="I5" s="34"/>
      <c r="J5" s="34"/>
      <c r="K5" s="34"/>
      <c r="L5" s="71"/>
      <c r="M5" s="84"/>
      <c r="N5" s="85"/>
      <c r="O5" s="85"/>
      <c r="P5" s="85"/>
      <c r="Q5" s="85"/>
      <c r="R5" s="85"/>
      <c r="S5" s="85"/>
      <c r="V5" s="30" t="s">
        <v>217</v>
      </c>
      <c r="W5" s="47"/>
      <c r="X5" s="41">
        <v>0.04</v>
      </c>
      <c r="Y5" s="47"/>
      <c r="AC5" s="47" t="s">
        <v>212</v>
      </c>
      <c r="AD5" s="45"/>
      <c r="AE5" s="255">
        <f t="array" ref="AE5">SUM((V$16:V$135+Z$16:Z$135)*($C$16:$C$135=AE3))/(12*_xlfn.XLOOKUP(AE$2,sexo_cnu,cnu_elp))</f>
        <v>267206.69392602227</v>
      </c>
      <c r="AF5" s="255">
        <f t="array" ref="AF5">SUM((W$16:W$135+AA$16:AA$135)*($C$16:$C$135=AF3))/(12*_xlfn.XLOOKUP(AF$2,sexo_cnu,cnu_elp))</f>
        <v>168838.90436471647</v>
      </c>
      <c r="AI5" s="30">
        <f>AJ4+1</f>
        <v>2034</v>
      </c>
      <c r="AJ5" s="84">
        <f>AJ4+10</f>
        <v>2043</v>
      </c>
      <c r="AK5" s="229">
        <f t="shared" si="0"/>
        <v>10</v>
      </c>
      <c r="AL5" s="230">
        <f t="shared" si="0"/>
        <v>10</v>
      </c>
      <c r="AM5" s="229">
        <f t="shared" si="1"/>
        <v>5.8</v>
      </c>
      <c r="AN5" s="230">
        <f t="shared" si="2"/>
        <v>5.8</v>
      </c>
      <c r="AO5" s="229">
        <f>_xlfn.LET(_xlpm.s,SUM(AO6:AO$8),MIN(tope_garantia-_xlpm.s,AM5))</f>
        <v>5.8</v>
      </c>
      <c r="AP5" s="230">
        <f>_xlfn.LET(_xlpm.s,SUM(AP6:AP$8),MIN(tope_garantia-_xlpm.s,AN5))</f>
        <v>5.8</v>
      </c>
      <c r="AQ5" s="242">
        <f t="shared" si="3"/>
        <v>0.1</v>
      </c>
      <c r="AR5" s="229">
        <f t="shared" si="4"/>
        <v>0.57999999999999996</v>
      </c>
      <c r="AS5" s="230">
        <f t="shared" si="4"/>
        <v>0.57999999999999996</v>
      </c>
      <c r="BA5" s="30" t="str">
        <v>Tabla Mortalidad</v>
      </c>
      <c r="BB5" s="38"/>
      <c r="BC5" s="248">
        <f>ROUND((IF($E$9&lt;2024,Parámetros!$AA$4,Parámetros!$AA$3)/Parámetros!$Z$4-1)*MIN(AJ$11,tope_bm*UF)*$X$7,0)</f>
        <v>29052</v>
      </c>
      <c r="BP5" s="71"/>
    </row>
    <row r="6" spans="1:68" x14ac:dyDescent="0.25">
      <c r="C6" s="32"/>
      <c r="D6" s="34"/>
      <c r="E6" s="34"/>
      <c r="F6" s="34"/>
      <c r="G6" s="34"/>
      <c r="H6" s="34"/>
      <c r="I6" s="34"/>
      <c r="J6" s="84"/>
      <c r="K6" s="85"/>
      <c r="L6" s="71"/>
      <c r="M6" s="84"/>
      <c r="N6" s="85"/>
      <c r="O6" s="85"/>
      <c r="P6" s="85"/>
      <c r="Q6" s="85"/>
      <c r="R6" s="85"/>
      <c r="S6" s="85"/>
      <c r="V6" s="40" t="s">
        <v>143</v>
      </c>
      <c r="X6" s="167">
        <f>0.16%*(1-VLOOKUP(a_nac,Parámetros!$AD$3:$AF$56,3))</f>
        <v>1.2800000000000001E-3</v>
      </c>
      <c r="Y6" s="47" t="s">
        <v>163</v>
      </c>
      <c r="AA6" s="86" t="s">
        <v>164</v>
      </c>
      <c r="AB6" s="84"/>
      <c r="AC6" s="287" t="s">
        <v>257</v>
      </c>
      <c r="AD6" s="33"/>
      <c r="AE6" s="269">
        <f>IF(Parámetros!Z$10&lt;2024,AE4,AE$5)</f>
        <v>267206.69392602227</v>
      </c>
      <c r="AF6" s="269">
        <f>IF(Parámetros!AA$10&lt;2024,AF4,AF$5)</f>
        <v>168838.90436471647</v>
      </c>
      <c r="AI6" s="30">
        <f>AJ5+1</f>
        <v>2044</v>
      </c>
      <c r="AJ6" s="84">
        <f>AJ5+10</f>
        <v>2053</v>
      </c>
      <c r="AK6" s="229">
        <f t="shared" si="0"/>
        <v>0</v>
      </c>
      <c r="AL6" s="230">
        <f t="shared" si="0"/>
        <v>0</v>
      </c>
      <c r="AM6" s="229">
        <f t="shared" si="1"/>
        <v>0</v>
      </c>
      <c r="AN6" s="230">
        <f t="shared" si="2"/>
        <v>0</v>
      </c>
      <c r="AO6" s="229">
        <f>_xlfn.LET(_xlpm.s,SUM(AO7:AO$8),MIN(tope_garantia-_xlpm.s,AM6))</f>
        <v>0</v>
      </c>
      <c r="AP6" s="230">
        <f>_xlfn.LET(_xlpm.s,SUM(AP7:AP$8),MIN(tope_garantia-_xlpm.s,AN6))</f>
        <v>0</v>
      </c>
      <c r="AQ6" s="242">
        <f t="shared" si="3"/>
        <v>0.1</v>
      </c>
      <c r="AR6" s="229">
        <f t="shared" si="4"/>
        <v>0</v>
      </c>
      <c r="AS6" s="230">
        <f t="shared" si="4"/>
        <v>0</v>
      </c>
      <c r="BA6" s="30" t="str">
        <v>Pensión intra</v>
      </c>
      <c r="BB6" s="38"/>
      <c r="BC6" s="38"/>
      <c r="BP6" s="71"/>
    </row>
    <row r="7" spans="1:68" x14ac:dyDescent="0.25">
      <c r="C7" s="32"/>
      <c r="D7" s="34"/>
      <c r="E7" s="34"/>
      <c r="F7" s="34"/>
      <c r="G7" s="34"/>
      <c r="H7" s="34"/>
      <c r="I7" s="34"/>
      <c r="J7" s="84"/>
      <c r="K7" s="85"/>
      <c r="L7" s="71"/>
      <c r="M7" s="84"/>
      <c r="N7" s="85"/>
      <c r="O7" s="85"/>
      <c r="P7" s="85"/>
      <c r="Q7" s="85"/>
      <c r="R7" s="85"/>
      <c r="S7" s="85"/>
      <c r="T7" s="172"/>
      <c r="U7" s="38"/>
      <c r="V7" s="252" t="s">
        <v>230</v>
      </c>
      <c r="W7" s="85"/>
      <c r="X7" s="253">
        <f>VLOOKUP(E9-a_nac,Parámetros!$Q$15:$R$20,2,FALSE)</f>
        <v>1</v>
      </c>
      <c r="Y7" s="85"/>
      <c r="Z7" s="85"/>
      <c r="AA7" s="85"/>
      <c r="AC7" s="65"/>
      <c r="AI7" s="30">
        <f>AJ6+1</f>
        <v>2054</v>
      </c>
      <c r="AJ7" s="84">
        <f>AJ6+10</f>
        <v>2063</v>
      </c>
      <c r="AK7" s="229">
        <f t="shared" si="0"/>
        <v>0</v>
      </c>
      <c r="AL7" s="230">
        <f t="shared" si="0"/>
        <v>0</v>
      </c>
      <c r="AM7" s="229">
        <f t="shared" si="1"/>
        <v>0</v>
      </c>
      <c r="AN7" s="230">
        <f t="shared" si="2"/>
        <v>0</v>
      </c>
      <c r="AO7" s="274">
        <f>_xlfn.LET(_xlpm.s,SUM(AO8:AO$8),MIN(tope_garantia-_xlpm.s,AM7))</f>
        <v>0</v>
      </c>
      <c r="AP7" s="275">
        <f>_xlfn.LET(_xlpm.s,SUM(AP8:AP$8),MIN(tope_garantia-_xlpm.s,AN7))</f>
        <v>0</v>
      </c>
      <c r="AQ7" s="242">
        <f t="shared" si="3"/>
        <v>0.1</v>
      </c>
      <c r="AR7" s="229">
        <f t="shared" si="4"/>
        <v>0</v>
      </c>
      <c r="AS7" s="230">
        <f t="shared" si="4"/>
        <v>0</v>
      </c>
      <c r="BA7" s="30" t="str">
        <v>Garantía</v>
      </c>
      <c r="BB7" s="247">
        <f>ROUND(MAX(AR9*UF-AT12,0),0)</f>
        <v>69837</v>
      </c>
      <c r="BC7" s="247">
        <f>ROUND(MAX(AS9*UF-AU12,0),0)</f>
        <v>77412</v>
      </c>
      <c r="BP7" s="71"/>
    </row>
    <row r="8" spans="1:68" ht="15.75" thickBot="1" x14ac:dyDescent="0.3">
      <c r="C8" s="32"/>
      <c r="D8" s="196" t="s">
        <v>110</v>
      </c>
      <c r="E8" s="196" t="s">
        <v>111</v>
      </c>
      <c r="F8" s="34"/>
      <c r="G8" s="34"/>
      <c r="H8" s="34"/>
      <c r="J8" s="84"/>
      <c r="K8" s="85"/>
      <c r="L8" s="71"/>
      <c r="M8" s="84"/>
      <c r="N8" s="85"/>
      <c r="O8" s="85"/>
      <c r="P8" s="85"/>
      <c r="Q8" s="85"/>
      <c r="R8" s="85"/>
      <c r="S8" s="85"/>
      <c r="T8" s="172"/>
      <c r="V8" s="252" t="s">
        <v>229</v>
      </c>
      <c r="W8" s="85"/>
      <c r="X8" s="254">
        <v>18</v>
      </c>
      <c r="Y8" s="85"/>
      <c r="Z8" s="85"/>
      <c r="AA8" s="85"/>
      <c r="AI8" s="30">
        <f>AJ7+1</f>
        <v>2064</v>
      </c>
      <c r="AJ8" s="84">
        <v>2100</v>
      </c>
      <c r="AK8" s="231">
        <f t="shared" si="0"/>
        <v>0</v>
      </c>
      <c r="AL8" s="232">
        <f t="shared" si="0"/>
        <v>0</v>
      </c>
      <c r="AM8" s="231">
        <f t="shared" si="1"/>
        <v>0</v>
      </c>
      <c r="AN8" s="232">
        <f t="shared" si="2"/>
        <v>0</v>
      </c>
      <c r="AO8" s="276">
        <f>MIN(tope_garantia,AM8)</f>
        <v>0</v>
      </c>
      <c r="AP8" s="277">
        <f>MIN(tope_garantia,AN8)</f>
        <v>0</v>
      </c>
      <c r="AQ8" s="243">
        <f t="shared" si="3"/>
        <v>0.1</v>
      </c>
      <c r="AR8" s="231">
        <f t="shared" si="4"/>
        <v>0</v>
      </c>
      <c r="AS8" s="232">
        <f t="shared" si="4"/>
        <v>0</v>
      </c>
      <c r="BA8" s="30" t="str">
        <v>Maternidad</v>
      </c>
      <c r="BB8" s="38"/>
      <c r="BC8" s="38">
        <f>ROUND(AO$11,0)</f>
        <v>0</v>
      </c>
      <c r="BP8" s="71"/>
    </row>
    <row r="9" spans="1:68" x14ac:dyDescent="0.25">
      <c r="B9" s="104" t="s">
        <v>119</v>
      </c>
      <c r="C9" s="32"/>
      <c r="D9" s="65">
        <f>_xlfn.XLOOKUP(D$8,sexo_cnu,agno_ret)</f>
        <v>2044</v>
      </c>
      <c r="E9" s="65">
        <f>_xlfn.XLOOKUP(E$8,sexo_cnu,agno_ret)</f>
        <v>2044</v>
      </c>
      <c r="F9" s="34"/>
      <c r="G9" s="34"/>
      <c r="H9" s="34"/>
      <c r="I9" s="34"/>
      <c r="J9" s="84"/>
      <c r="K9" s="85"/>
      <c r="L9" s="71"/>
      <c r="M9" s="84"/>
      <c r="N9" s="85"/>
      <c r="O9" s="85"/>
      <c r="P9" s="85"/>
      <c r="Q9" s="85"/>
      <c r="R9" s="85"/>
      <c r="S9" s="85"/>
      <c r="T9" s="174"/>
      <c r="U9" s="47"/>
      <c r="V9" s="30" t="s">
        <v>226</v>
      </c>
      <c r="W9" s="85"/>
      <c r="X9" s="206">
        <f>[0]!alpha</f>
        <v>0.7</v>
      </c>
      <c r="Y9" s="85"/>
      <c r="Z9" s="85"/>
      <c r="AA9" s="85"/>
      <c r="AH9" s="32"/>
      <c r="AJ9" s="30" t="s">
        <v>116</v>
      </c>
      <c r="AK9" s="244">
        <f>(a_nac+edad_ret_h-a_afil)</f>
        <v>41</v>
      </c>
      <c r="AL9" s="244">
        <f>(a_nac+edad_ret_m-a_afil)</f>
        <v>41</v>
      </c>
      <c r="AM9" s="244">
        <f t="shared" si="1"/>
        <v>23.779999999999998</v>
      </c>
      <c r="AN9" s="244">
        <f t="shared" si="2"/>
        <v>23.779999999999998</v>
      </c>
      <c r="AO9" s="244">
        <f>SUM(AO3:AO8)</f>
        <v>23.78</v>
      </c>
      <c r="AP9" s="244">
        <f>MIN(AN9,tope_garantia)</f>
        <v>23.779999999999998</v>
      </c>
      <c r="AQ9" s="245"/>
      <c r="AR9" s="278">
        <f>SUM(AR3:AR8)</f>
        <v>2.3780000000000001</v>
      </c>
      <c r="AS9" s="278">
        <f>SUM(AS3:AS8)</f>
        <v>2.3780000000000001</v>
      </c>
      <c r="BA9" s="30" t="str">
        <v>Cuidado</v>
      </c>
      <c r="BB9" s="38"/>
      <c r="BC9" s="38">
        <f>ROUND(AP$11,0)</f>
        <v>4919</v>
      </c>
      <c r="BP9" s="71"/>
    </row>
    <row r="10" spans="1:68" x14ac:dyDescent="0.25">
      <c r="D10" s="34"/>
      <c r="E10" s="34"/>
      <c r="F10" s="34"/>
      <c r="G10" s="34"/>
      <c r="H10" s="34"/>
      <c r="I10" s="35"/>
      <c r="J10" s="35"/>
      <c r="K10" s="85"/>
      <c r="L10" s="71"/>
      <c r="M10" s="84"/>
      <c r="N10" s="85"/>
      <c r="O10" s="85"/>
      <c r="P10" s="85"/>
      <c r="Q10" s="85"/>
      <c r="R10" s="85"/>
      <c r="S10" s="85"/>
      <c r="U10" s="47"/>
      <c r="V10" s="96" t="s">
        <v>263</v>
      </c>
      <c r="W10" s="85"/>
      <c r="X10" s="273">
        <v>30</v>
      </c>
      <c r="Y10" s="85"/>
      <c r="Z10" s="85"/>
      <c r="AA10" s="85"/>
      <c r="BA10" s="85" t="str">
        <v>Lagunas</v>
      </c>
      <c r="BB10" s="38"/>
      <c r="BC10" s="38"/>
      <c r="BP10" s="71"/>
    </row>
    <row r="11" spans="1:68" x14ac:dyDescent="0.25">
      <c r="A11" s="96"/>
      <c r="B11" s="84"/>
      <c r="C11" s="85"/>
      <c r="D11" s="208"/>
      <c r="E11" s="208"/>
      <c r="F11" s="208"/>
      <c r="G11" s="208"/>
      <c r="H11" s="208"/>
      <c r="I11" s="209"/>
      <c r="J11" s="209"/>
      <c r="K11" s="85"/>
      <c r="L11" s="71"/>
      <c r="M11" s="84"/>
      <c r="N11" s="85"/>
      <c r="O11" s="85"/>
      <c r="P11" s="85"/>
      <c r="Q11" s="85"/>
      <c r="R11" s="85"/>
      <c r="S11" s="85"/>
      <c r="T11" s="71"/>
      <c r="U11" s="47"/>
      <c r="V11" s="84"/>
      <c r="W11" s="85"/>
      <c r="X11" s="85"/>
      <c r="Y11" s="85"/>
      <c r="Z11" s="85"/>
      <c r="AA11" s="85"/>
      <c r="AG11" s="74">
        <f t="shared" ref="AG11:AH11" si="5">MAX(AG16:AG135)</f>
        <v>249562.18907357016</v>
      </c>
      <c r="AH11" s="74">
        <f t="shared" si="5"/>
        <v>222428.64055623682</v>
      </c>
      <c r="AI11" s="56">
        <f>MAX(AI16:AI135)</f>
        <v>267206.69392602227</v>
      </c>
      <c r="AJ11" s="56">
        <f>MAX(AJ16:AJ135)</f>
        <v>238154.75372341165</v>
      </c>
      <c r="AK11" s="53">
        <f t="shared" ref="AK11:AR11" si="6">MAX(AK16:AK135)</f>
        <v>0</v>
      </c>
      <c r="AL11" s="53">
        <f t="shared" si="6"/>
        <v>0</v>
      </c>
      <c r="AM11" s="53">
        <f t="shared" si="6"/>
        <v>0</v>
      </c>
      <c r="AN11" s="53">
        <f t="shared" si="6"/>
        <v>0</v>
      </c>
      <c r="AO11" s="53">
        <f t="shared" si="6"/>
        <v>0</v>
      </c>
      <c r="AP11" s="53">
        <f t="shared" si="6"/>
        <v>4919.4967717622039</v>
      </c>
      <c r="AQ11" s="53">
        <f t="shared" si="6"/>
        <v>0</v>
      </c>
      <c r="AR11" s="53">
        <f t="shared" si="6"/>
        <v>0</v>
      </c>
      <c r="AS11" s="84"/>
      <c r="AT11" s="68">
        <f t="shared" ref="AT11:AW11" si="7">MAX(AT16:AT135)</f>
        <v>16081.049601068573</v>
      </c>
      <c r="AU11" s="68">
        <f t="shared" si="7"/>
        <v>14332.643958450943</v>
      </c>
      <c r="AV11" s="68">
        <f t="shared" si="7"/>
        <v>251125.64432495367</v>
      </c>
      <c r="AW11" s="68">
        <f t="shared" si="7"/>
        <v>223822.10976496071</v>
      </c>
      <c r="AX11" s="85" t="s">
        <v>233</v>
      </c>
      <c r="AY11" s="85"/>
      <c r="AZ11" s="85"/>
    </row>
    <row r="12" spans="1:68" ht="15" customHeight="1" x14ac:dyDescent="0.25">
      <c r="A12" s="374" t="s">
        <v>20</v>
      </c>
      <c r="B12" s="306" t="s">
        <v>167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8"/>
      <c r="M12" s="309" t="s">
        <v>170</v>
      </c>
      <c r="N12" s="310"/>
      <c r="O12" s="310"/>
      <c r="P12" s="310"/>
      <c r="Q12" s="310"/>
      <c r="R12" s="310"/>
      <c r="S12" s="310"/>
      <c r="T12" s="311"/>
      <c r="U12" s="47"/>
      <c r="V12" s="298" t="s">
        <v>171</v>
      </c>
      <c r="W12" s="299"/>
      <c r="X12" s="299"/>
      <c r="Y12" s="299"/>
      <c r="Z12" s="299"/>
      <c r="AA12" s="299"/>
      <c r="AB12" s="312" t="s">
        <v>173</v>
      </c>
      <c r="AC12" s="312"/>
      <c r="AD12" s="312"/>
      <c r="AE12" s="312"/>
      <c r="AG12" s="357" t="str">
        <f>"PAFE sin reforma ("&amp;TEXT($X$2,"0,0%")&amp;")"</f>
        <v>PAFE sin reforma (10,0%)</v>
      </c>
      <c r="AH12" s="358"/>
      <c r="AI12" s="357" t="str">
        <f>"PAFE con reforma 
("&amp;TEXT($X$3,"0,0%")&amp;" + "&amp;TEXT(W14,"0%")&amp;" ind y col)"</f>
        <v>PAFE con reforma 
(10,5% + 2% ind y col)</v>
      </c>
      <c r="AJ12" s="358"/>
      <c r="AK12" s="313" t="s">
        <v>177</v>
      </c>
      <c r="AL12" s="314"/>
      <c r="AM12" s="314"/>
      <c r="AN12" s="314"/>
      <c r="AO12" s="314"/>
      <c r="AP12" s="314"/>
      <c r="AQ12" s="314"/>
      <c r="AR12" s="314"/>
      <c r="AS12" s="84"/>
      <c r="AT12" s="256" cm="1">
        <f t="array" ref="AT12">SUM((V$16:V$135)*($C$16:$C$135=AE3))/(12*_xlfn.XLOOKUP(AT$15,sexo_cnu,cnu_elp))</f>
        <v>16081.049601068573</v>
      </c>
      <c r="AU12" s="256" cm="1">
        <f t="array" ref="AU12">SUM((W$16:W$135)*($C$16:$C$135=AF3))/(12*_xlfn.XLOOKUP(AU$15,sexo_cnu,cnu_elp))</f>
        <v>8505.5074987464632</v>
      </c>
      <c r="AX12" s="85" t="s">
        <v>232</v>
      </c>
      <c r="AY12" s="85"/>
      <c r="AZ12" s="85"/>
      <c r="BA12" s="30" t="s">
        <v>220</v>
      </c>
      <c r="BB12" s="249">
        <f>BB7+AT$11</f>
        <v>85918.049601068575</v>
      </c>
      <c r="BC12" s="249">
        <f>BC7+AU$11</f>
        <v>91744.643958450935</v>
      </c>
    </row>
    <row r="13" spans="1:68" s="58" customFormat="1" ht="44.25" customHeight="1" x14ac:dyDescent="0.25">
      <c r="A13" s="375"/>
      <c r="B13" s="394" t="s">
        <v>120</v>
      </c>
      <c r="C13" s="397" t="s">
        <v>104</v>
      </c>
      <c r="D13" s="363" t="s">
        <v>106</v>
      </c>
      <c r="E13" s="364"/>
      <c r="F13" s="363" t="s">
        <v>109</v>
      </c>
      <c r="G13" s="364"/>
      <c r="H13" s="400" t="s">
        <v>118</v>
      </c>
      <c r="I13" s="363" t="s">
        <v>108</v>
      </c>
      <c r="J13" s="364"/>
      <c r="K13" s="363" t="s">
        <v>107</v>
      </c>
      <c r="L13" s="364"/>
      <c r="M13" s="411" t="str">
        <f>"Cot extra "&amp;TEXT(N14,"0,0%")&amp;" 
Individual"</f>
        <v>Cot extra 2,0% 
Individual</v>
      </c>
      <c r="N13" s="411"/>
      <c r="O13" s="411" t="str">
        <f>"Cot extra "&amp;TEXT(N14,"0,0%")&amp;" 
Colectivo"</f>
        <v>Cot extra 2,0% 
Colectivo</v>
      </c>
      <c r="P13" s="411"/>
      <c r="Q13" s="377" t="str">
        <f>"Cotización sin reforma
"&amp;TEXT($X$2,"0,0%")</f>
        <v>Cotización sin reforma
10,0%</v>
      </c>
      <c r="R13" s="378"/>
      <c r="S13" s="377" t="str">
        <f>"Cotización con reforma por "&amp;TEXT($X$3,"0,0%")&amp;" (incluye lagunas "&amp;TEXT($X$3+$X$4,"0,0%")&amp;")"</f>
        <v>Cotización con reforma por 10,5% (incluye lagunas 12,5%)</v>
      </c>
      <c r="T13" s="378"/>
      <c r="U13" s="63"/>
      <c r="V13" s="412" t="str">
        <f>"Saldo cot extra "&amp;TEXT(W14,"0,0%")&amp;" 
Individual y Colectivo"</f>
        <v>Saldo cot extra 2,0% 
Individual y Colectivo</v>
      </c>
      <c r="W13" s="412"/>
      <c r="X13" s="387" t="str">
        <f>"Saldos sin reforma ("&amp;TEXT($X$2,"0,0%")&amp;")"</f>
        <v>Saldos sin reforma (10,0%)</v>
      </c>
      <c r="Y13" s="388"/>
      <c r="Z13" s="387" t="str">
        <f>"Saldo con reforma ("&amp;TEXT($X$3,"0,0%")&amp;")"</f>
        <v>Saldo con reforma (10,5%)</v>
      </c>
      <c r="AA13" s="388"/>
      <c r="AB13" s="381" t="s">
        <v>2</v>
      </c>
      <c r="AC13" s="351" t="s">
        <v>175</v>
      </c>
      <c r="AD13" s="353" t="s">
        <v>174</v>
      </c>
      <c r="AE13" s="354"/>
      <c r="AG13" s="359"/>
      <c r="AH13" s="360"/>
      <c r="AI13" s="359"/>
      <c r="AJ13" s="360"/>
      <c r="AK13" s="407"/>
      <c r="AL13" s="408"/>
      <c r="AM13" s="407"/>
      <c r="AN13" s="408"/>
      <c r="AO13" s="403" t="s">
        <v>2</v>
      </c>
      <c r="AP13" s="403" t="s">
        <v>105</v>
      </c>
      <c r="AQ13" s="370" t="s">
        <v>174</v>
      </c>
      <c r="AR13" s="371"/>
      <c r="AS13" s="182"/>
      <c r="AT13" s="387" t="str">
        <f>"PAFE cot extra "&amp;TEXT(W14,"0,0%")&amp;" Individual y Colectivo"</f>
        <v>PAFE cot extra 2,0% Individual y Colectivo</v>
      </c>
      <c r="AU13" s="388"/>
      <c r="AV13" s="387" t="str">
        <f>"PAFE con reforma (10,5%)"</f>
        <v>PAFE con reforma (10,5%)</v>
      </c>
      <c r="AW13" s="388"/>
      <c r="AX13" s="183"/>
      <c r="AY13" s="183"/>
      <c r="AZ13" s="30"/>
    </row>
    <row r="14" spans="1:68" ht="15" customHeight="1" x14ac:dyDescent="0.25">
      <c r="A14" s="375"/>
      <c r="B14" s="395"/>
      <c r="C14" s="398"/>
      <c r="D14" s="365"/>
      <c r="E14" s="366"/>
      <c r="F14" s="365"/>
      <c r="G14" s="366"/>
      <c r="H14" s="401"/>
      <c r="I14" s="365"/>
      <c r="J14" s="366"/>
      <c r="K14" s="365"/>
      <c r="L14" s="366"/>
      <c r="M14" s="30" t="s">
        <v>168</v>
      </c>
      <c r="N14" s="171">
        <f>$X$4</f>
        <v>0.02</v>
      </c>
      <c r="O14" s="30" t="s">
        <v>168</v>
      </c>
      <c r="P14" s="171">
        <f>N14</f>
        <v>0.02</v>
      </c>
      <c r="Q14" s="379"/>
      <c r="R14" s="380"/>
      <c r="S14" s="379"/>
      <c r="T14" s="380"/>
      <c r="U14" s="64"/>
      <c r="V14" s="30" t="s">
        <v>123</v>
      </c>
      <c r="W14" s="171">
        <f>N14</f>
        <v>0.02</v>
      </c>
      <c r="X14" s="389"/>
      <c r="Y14" s="390"/>
      <c r="Z14" s="389"/>
      <c r="AA14" s="390"/>
      <c r="AB14" s="382"/>
      <c r="AC14" s="352"/>
      <c r="AD14" s="355"/>
      <c r="AE14" s="356"/>
      <c r="AG14" s="361"/>
      <c r="AH14" s="362"/>
      <c r="AI14" s="361"/>
      <c r="AJ14" s="362"/>
      <c r="AK14" s="409"/>
      <c r="AL14" s="410"/>
      <c r="AM14" s="409"/>
      <c r="AN14" s="410"/>
      <c r="AO14" s="404"/>
      <c r="AP14" s="404"/>
      <c r="AQ14" s="372"/>
      <c r="AR14" s="373"/>
      <c r="AT14" s="389"/>
      <c r="AU14" s="390"/>
      <c r="AV14" s="389"/>
      <c r="AW14" s="390"/>
    </row>
    <row r="15" spans="1:68" x14ac:dyDescent="0.25">
      <c r="A15" s="376"/>
      <c r="B15" s="396"/>
      <c r="C15" s="399"/>
      <c r="D15" s="109" t="s">
        <v>2</v>
      </c>
      <c r="E15" s="109" t="s">
        <v>105</v>
      </c>
      <c r="F15" s="109" t="s">
        <v>165</v>
      </c>
      <c r="G15" s="109" t="s">
        <v>166</v>
      </c>
      <c r="H15" s="402"/>
      <c r="I15" s="109" t="s">
        <v>165</v>
      </c>
      <c r="J15" s="109" t="s">
        <v>166</v>
      </c>
      <c r="K15" s="109" t="s">
        <v>165</v>
      </c>
      <c r="L15" s="109" t="s">
        <v>166</v>
      </c>
      <c r="M15" s="31" t="s">
        <v>110</v>
      </c>
      <c r="N15" s="31" t="s">
        <v>111</v>
      </c>
      <c r="O15" s="31" t="s">
        <v>110</v>
      </c>
      <c r="P15" s="31" t="s">
        <v>111</v>
      </c>
      <c r="Q15" s="31" t="s">
        <v>110</v>
      </c>
      <c r="R15" s="31" t="s">
        <v>111</v>
      </c>
      <c r="S15" s="31" t="s">
        <v>110</v>
      </c>
      <c r="T15" s="31" t="s">
        <v>111</v>
      </c>
      <c r="U15" s="108"/>
      <c r="V15" s="31" t="s">
        <v>110</v>
      </c>
      <c r="W15" s="31" t="s">
        <v>111</v>
      </c>
      <c r="X15" s="31" t="s">
        <v>110</v>
      </c>
      <c r="Y15" s="31" t="s">
        <v>111</v>
      </c>
      <c r="Z15" s="31" t="s">
        <v>110</v>
      </c>
      <c r="AA15" s="31" t="s">
        <v>111</v>
      </c>
      <c r="AB15" s="31" t="s">
        <v>111</v>
      </c>
      <c r="AC15" s="31" t="s">
        <v>111</v>
      </c>
      <c r="AD15" s="31" t="s">
        <v>110</v>
      </c>
      <c r="AE15" s="31" t="s">
        <v>111</v>
      </c>
      <c r="AG15" s="33" t="s">
        <v>110</v>
      </c>
      <c r="AH15" s="33" t="s">
        <v>111</v>
      </c>
      <c r="AI15" s="33" t="s">
        <v>110</v>
      </c>
      <c r="AJ15" s="33" t="s">
        <v>111</v>
      </c>
      <c r="AK15" s="30" t="s">
        <v>110</v>
      </c>
      <c r="AL15" s="30" t="s">
        <v>111</v>
      </c>
      <c r="AM15" s="30" t="s">
        <v>110</v>
      </c>
      <c r="AN15" s="30" t="s">
        <v>111</v>
      </c>
      <c r="AO15" s="30" t="s">
        <v>111</v>
      </c>
      <c r="AP15" s="30" t="s">
        <v>111</v>
      </c>
      <c r="AQ15" s="30" t="s">
        <v>110</v>
      </c>
      <c r="AR15" s="30" t="s">
        <v>111</v>
      </c>
      <c r="AT15" s="31" t="s">
        <v>110</v>
      </c>
      <c r="AU15" s="31" t="s">
        <v>111</v>
      </c>
      <c r="AV15" s="33" t="s">
        <v>110</v>
      </c>
      <c r="AW15" s="33" t="s">
        <v>111</v>
      </c>
      <c r="AY15" s="188" t="s">
        <v>218</v>
      </c>
      <c r="AZ15" s="96"/>
    </row>
    <row r="16" spans="1:68" s="96" customFormat="1" x14ac:dyDescent="0.25">
      <c r="A16" s="30">
        <v>1981</v>
      </c>
      <c r="B16" s="33">
        <f>w_uf*UF*Parámetros!C3</f>
        <v>380780.03679971903</v>
      </c>
      <c r="C16" s="30">
        <f t="shared" ref="C16:C57" si="8">IF(AND(A16-a_nac&lt;=110,A16-a_nac&gt;0),A16-a_nac,"")</f>
        <v>2</v>
      </c>
      <c r="D16" s="30">
        <f>((A16=Inputs!$C$12)*(Inputs!$D$12) + (A16=Inputs!$C$13)*(Inputs!$D$13) + (A16=Inputs!$C$14)*(Inputs!$D$14)) *(A16 &gt;= a_afil)*(A16&gt;=2024)</f>
        <v>0</v>
      </c>
      <c r="E16" s="30">
        <v>0</v>
      </c>
      <c r="F16" s="30">
        <f t="shared" ref="F16:F47" si="9" xml:space="preserve"> (C16&lt;edad_ret_h) * (A16&gt;=a_afil)</f>
        <v>0</v>
      </c>
      <c r="G16" s="30">
        <f t="shared" ref="G16:G47" si="10" xml:space="preserve"> (C16&lt;edad_ret_m) * (A16&gt;=a_afil)</f>
        <v>0</v>
      </c>
      <c r="H16" s="30">
        <v>0.11547011137008667</v>
      </c>
      <c r="I16" s="37">
        <f t="shared" ref="I16:I58" si="11">IF(F16=1,+dens_cot,0)</f>
        <v>0</v>
      </c>
      <c r="J16" s="37">
        <f t="shared" ref="J16:J58" si="12">IF(G16=1,+dens_mujer,0)</f>
        <v>0</v>
      </c>
      <c r="K16" s="30"/>
      <c r="M16" s="97"/>
      <c r="N16" s="98"/>
      <c r="O16" s="98"/>
      <c r="P16" s="98"/>
      <c r="Q16" s="192">
        <f t="shared" ref="Q16:R16" si="13">MIN($B16,_xlfn.XLOOKUP($A16,agnos,tope_base)*UF)*12*I16*$X$2</f>
        <v>0</v>
      </c>
      <c r="R16" s="192">
        <f t="shared" si="13"/>
        <v>0</v>
      </c>
      <c r="S16" s="192">
        <f t="shared" ref="S16:S58" si="14">MIN($B16,_xlfn.XLOOKUP($A16,agnos,tope_base)*UF)*12*I16*$X$2</f>
        <v>0</v>
      </c>
      <c r="T16" s="192">
        <f t="shared" ref="T16:T58" si="15">MIN($B16,_xlfn.XLOOKUP($A16,agnos,tope_base)*UF)*12*J16*$X$2</f>
        <v>0</v>
      </c>
      <c r="U16" s="98"/>
      <c r="V16" s="98"/>
      <c r="W16" s="98"/>
      <c r="X16" s="99"/>
      <c r="Y16" s="99"/>
      <c r="Z16" s="99"/>
      <c r="AA16" s="99"/>
      <c r="AG16" s="52">
        <f t="shared" ref="AG16:AG47" si="16">($A16=D$9)*X16/(12*_xlfn.XLOOKUP(AG$15,sexo_cnu,cnu))</f>
        <v>0</v>
      </c>
      <c r="AH16" s="52">
        <f t="shared" ref="AH16:AH47" si="17">($A16=E$9)*Y16/(12*_xlfn.XLOOKUP(AH$15,sexo_cnu,cnu))</f>
        <v>0</v>
      </c>
      <c r="AI16" s="52">
        <f t="shared" ref="AI16:AI58" si="18">($A16=D$9)*Z16/(12*_xlfn.XLOOKUP(AI$15,sexo_cnu,cnu))</f>
        <v>0</v>
      </c>
      <c r="AJ16" s="52">
        <f t="shared" ref="AJ16:AJ58" si="19">($A16=E$9)*AA16/(12*_xlfn.XLOOKUP(AJ$15,sexo_cnu,cnu))</f>
        <v>0</v>
      </c>
      <c r="AS16" s="100"/>
      <c r="AT16" s="98"/>
      <c r="AU16" s="98"/>
      <c r="AV16" s="189">
        <f t="shared" ref="AV16:AV58" si="20">IF(($A16=a_nac+edad_ret_h),Z16/(12*_xlfn.XLOOKUP(AV$15,sexo_cnu,cnu)),0)</f>
        <v>0</v>
      </c>
      <c r="AW16" s="189">
        <f t="shared" ref="AW16:AW47" si="21">IF($A16=a_nac+edad_ret_m,AA16/(12*_xlfn.XLOOKUP(AW$15,sexo_cnu,cnu)),0)</f>
        <v>0</v>
      </c>
      <c r="AX16" s="100"/>
      <c r="AY16" s="100"/>
      <c r="AZ16" s="239"/>
    </row>
    <row r="17" spans="1:51" s="65" customFormat="1" x14ac:dyDescent="0.25">
      <c r="A17" s="30">
        <v>1982</v>
      </c>
      <c r="B17" s="33">
        <f>w_uf*UF*Parámetros!C4</f>
        <v>407279.08360989951</v>
      </c>
      <c r="C17" s="30">
        <f t="shared" si="8"/>
        <v>3</v>
      </c>
      <c r="D17" s="30">
        <f>((A17=Inputs!$C$12)*(Inputs!$D$12) + (A17=Inputs!$C$13)*(Inputs!$D$13) + (A17=Inputs!$C$14)*(Inputs!$D$14)) *(A17 &gt;= a_afil)*(A17&gt;=2024)</f>
        <v>0</v>
      </c>
      <c r="E17" s="30">
        <v>0</v>
      </c>
      <c r="F17" s="30">
        <f t="shared" si="9"/>
        <v>0</v>
      </c>
      <c r="G17" s="30">
        <f t="shared" si="10"/>
        <v>0</v>
      </c>
      <c r="H17" s="30">
        <v>0.17377340793609619</v>
      </c>
      <c r="I17" s="37">
        <f t="shared" si="11"/>
        <v>0</v>
      </c>
      <c r="J17" s="37">
        <f t="shared" si="12"/>
        <v>0</v>
      </c>
      <c r="K17" s="84"/>
      <c r="L17" s="101"/>
      <c r="M17" s="88"/>
      <c r="N17" s="69"/>
      <c r="O17" s="69"/>
      <c r="P17" s="69"/>
      <c r="Q17" s="70">
        <f t="shared" ref="Q17:Q58" si="22">MIN($B17,_xlfn.XLOOKUP($A17,agnos,tope_base)*UF)*12*I17*$X$2</f>
        <v>0</v>
      </c>
      <c r="R17" s="70">
        <f t="shared" ref="R17:R58" si="23">MIN($B17,_xlfn.XLOOKUP($A17,agnos,tope_base)*UF)*12*J17*$X$2</f>
        <v>0</v>
      </c>
      <c r="S17" s="70">
        <f t="shared" si="14"/>
        <v>0</v>
      </c>
      <c r="T17" s="70">
        <f t="shared" si="15"/>
        <v>0</v>
      </c>
      <c r="U17" s="69"/>
      <c r="V17" s="69"/>
      <c r="W17" s="69"/>
      <c r="X17" s="70">
        <f t="shared" ref="X17:X48" si="24">F16*X16*(1+_xlfn.XLOOKUP(MIN(2024,$A16),agnos_rent,rent_base))+Q17</f>
        <v>0</v>
      </c>
      <c r="Y17" s="70">
        <f t="shared" ref="Y17:Y48" si="25">G16*Y16*(1+_xlfn.XLOOKUP(MIN(2024,$A16),agnos_rent,rent_base))+R17</f>
        <v>0</v>
      </c>
      <c r="Z17" s="70">
        <f t="shared" ref="Z17:Z58" si="26">F16*Z16*(1+_xlfn.XLOOKUP(MIN(2024,$A16),agnos_rent,rent_base))+S17</f>
        <v>0</v>
      </c>
      <c r="AA17" s="70">
        <f t="shared" ref="AA17:AA58" si="27">G16*AA16*(1+_xlfn.XLOOKUP(MIN(2024,$A16),agnos_rent,rent_base))+T17</f>
        <v>0</v>
      </c>
      <c r="AG17" s="74">
        <f t="shared" si="16"/>
        <v>0</v>
      </c>
      <c r="AH17" s="52">
        <f t="shared" si="17"/>
        <v>0</v>
      </c>
      <c r="AI17" s="74">
        <f t="shared" si="18"/>
        <v>0</v>
      </c>
      <c r="AJ17" s="74">
        <f t="shared" si="19"/>
        <v>0</v>
      </c>
      <c r="AS17" s="102"/>
      <c r="AT17" s="69"/>
      <c r="AU17" s="69"/>
      <c r="AV17" s="74">
        <f t="shared" si="20"/>
        <v>0</v>
      </c>
      <c r="AW17" s="74">
        <f t="shared" si="21"/>
        <v>0</v>
      </c>
      <c r="AX17" s="102"/>
      <c r="AY17" s="102"/>
    </row>
    <row r="18" spans="1:51" x14ac:dyDescent="0.25">
      <c r="A18" s="30">
        <v>1983</v>
      </c>
      <c r="B18" s="33">
        <f>w_uf*UF*Parámetros!C5</f>
        <v>416549.90038654342</v>
      </c>
      <c r="C18" s="30">
        <f t="shared" si="8"/>
        <v>4</v>
      </c>
      <c r="D18" s="30">
        <f>((A18=Inputs!$C$12)*(Inputs!$D$12) + (A18=Inputs!$C$13)*(Inputs!$D$13) + (A18=Inputs!$C$14)*(Inputs!$D$14)) *(A18 &gt;= a_afil)*(A18&gt;=2024)</f>
        <v>0</v>
      </c>
      <c r="E18" s="30">
        <v>0</v>
      </c>
      <c r="F18" s="30">
        <f t="shared" si="9"/>
        <v>0</v>
      </c>
      <c r="G18" s="30">
        <f t="shared" si="10"/>
        <v>0</v>
      </c>
      <c r="H18" s="30">
        <v>4.8118889331817627E-2</v>
      </c>
      <c r="I18" s="37">
        <f t="shared" si="11"/>
        <v>0</v>
      </c>
      <c r="J18" s="37">
        <f t="shared" si="12"/>
        <v>0</v>
      </c>
      <c r="K18" s="84"/>
      <c r="L18" s="71"/>
      <c r="M18" s="87"/>
      <c r="N18" s="47"/>
      <c r="O18" s="47"/>
      <c r="P18" s="47"/>
      <c r="Q18" s="192">
        <f t="shared" si="22"/>
        <v>0</v>
      </c>
      <c r="R18" s="54">
        <f t="shared" si="23"/>
        <v>0</v>
      </c>
      <c r="S18" s="54">
        <f t="shared" si="14"/>
        <v>0</v>
      </c>
      <c r="T18" s="54">
        <f t="shared" si="15"/>
        <v>0</v>
      </c>
      <c r="U18" s="47"/>
      <c r="V18" s="47"/>
      <c r="W18" s="47"/>
      <c r="X18" s="70">
        <f t="shared" si="24"/>
        <v>0</v>
      </c>
      <c r="Y18" s="70">
        <f t="shared" si="25"/>
        <v>0</v>
      </c>
      <c r="Z18" s="70">
        <f t="shared" si="26"/>
        <v>0</v>
      </c>
      <c r="AA18" s="70">
        <f t="shared" si="27"/>
        <v>0</v>
      </c>
      <c r="AG18" s="52">
        <f t="shared" si="16"/>
        <v>0</v>
      </c>
      <c r="AH18" s="52">
        <f t="shared" si="17"/>
        <v>0</v>
      </c>
      <c r="AI18" s="52">
        <f t="shared" si="18"/>
        <v>0</v>
      </c>
      <c r="AJ18" s="52">
        <f t="shared" si="19"/>
        <v>0</v>
      </c>
      <c r="AK18" s="30"/>
      <c r="AL18" s="30"/>
      <c r="AM18" s="30"/>
      <c r="AN18" s="30"/>
      <c r="AO18" s="30"/>
      <c r="AP18" s="30"/>
      <c r="AS18" s="39"/>
      <c r="AT18" s="47"/>
      <c r="AU18" s="47"/>
      <c r="AV18" s="52">
        <f t="shared" si="20"/>
        <v>0</v>
      </c>
      <c r="AW18" s="52">
        <f t="shared" si="21"/>
        <v>0</v>
      </c>
      <c r="AX18" s="39"/>
      <c r="AY18" s="39"/>
    </row>
    <row r="19" spans="1:51" x14ac:dyDescent="0.25">
      <c r="A19" s="30">
        <v>1984</v>
      </c>
      <c r="B19" s="33">
        <f>w_uf*UF*Parámetros!C6</f>
        <v>370107.77342588617</v>
      </c>
      <c r="C19" s="30">
        <f t="shared" si="8"/>
        <v>5</v>
      </c>
      <c r="D19" s="30">
        <f>((A19=Inputs!$C$12)*(Inputs!$D$12) + (A19=Inputs!$C$13)*(Inputs!$D$13) + (A19=Inputs!$C$14)*(Inputs!$D$14)) *(A19 &gt;= a_afil)*(A19&gt;=2024)</f>
        <v>0</v>
      </c>
      <c r="E19" s="30">
        <v>0</v>
      </c>
      <c r="F19" s="30">
        <f t="shared" si="9"/>
        <v>0</v>
      </c>
      <c r="G19" s="30">
        <f t="shared" si="10"/>
        <v>0</v>
      </c>
      <c r="H19" s="30">
        <v>0.71481633186340332</v>
      </c>
      <c r="I19" s="37">
        <f t="shared" si="11"/>
        <v>0</v>
      </c>
      <c r="J19" s="37">
        <f t="shared" si="12"/>
        <v>0</v>
      </c>
      <c r="K19" s="84"/>
      <c r="L19" s="71"/>
      <c r="M19" s="87"/>
      <c r="N19" s="47"/>
      <c r="O19" s="47"/>
      <c r="P19" s="47"/>
      <c r="Q19" s="54">
        <f t="shared" si="22"/>
        <v>0</v>
      </c>
      <c r="R19" s="54">
        <f t="shared" si="23"/>
        <v>0</v>
      </c>
      <c r="S19" s="54">
        <f t="shared" si="14"/>
        <v>0</v>
      </c>
      <c r="T19" s="54">
        <f t="shared" si="15"/>
        <v>0</v>
      </c>
      <c r="U19" s="47"/>
      <c r="V19" s="47"/>
      <c r="W19" s="47"/>
      <c r="X19" s="70">
        <f t="shared" si="24"/>
        <v>0</v>
      </c>
      <c r="Y19" s="70">
        <f t="shared" si="25"/>
        <v>0</v>
      </c>
      <c r="Z19" s="70">
        <f t="shared" si="26"/>
        <v>0</v>
      </c>
      <c r="AA19" s="70">
        <f t="shared" si="27"/>
        <v>0</v>
      </c>
      <c r="AG19" s="52">
        <f t="shared" si="16"/>
        <v>0</v>
      </c>
      <c r="AH19" s="52">
        <f t="shared" si="17"/>
        <v>0</v>
      </c>
      <c r="AI19" s="52">
        <f t="shared" si="18"/>
        <v>0</v>
      </c>
      <c r="AJ19" s="52">
        <f t="shared" si="19"/>
        <v>0</v>
      </c>
      <c r="AK19" s="30"/>
      <c r="AL19" s="30"/>
      <c r="AM19" s="30"/>
      <c r="AN19" s="30"/>
      <c r="AO19" s="30"/>
      <c r="AP19" s="30"/>
      <c r="AS19" s="39"/>
      <c r="AT19" s="47"/>
      <c r="AU19" s="47"/>
      <c r="AV19" s="52">
        <f t="shared" si="20"/>
        <v>0</v>
      </c>
      <c r="AW19" s="52">
        <f t="shared" si="21"/>
        <v>0</v>
      </c>
      <c r="AX19" s="39"/>
      <c r="AY19" s="39"/>
    </row>
    <row r="20" spans="1:51" x14ac:dyDescent="0.25">
      <c r="A20" s="30">
        <v>1985</v>
      </c>
      <c r="B20" s="33">
        <f>w_uf*UF*Parámetros!C7</f>
        <v>371644.21891942294</v>
      </c>
      <c r="C20" s="30">
        <f t="shared" si="8"/>
        <v>6</v>
      </c>
      <c r="D20" s="30">
        <f>((A20=Inputs!$C$12)*(Inputs!$D$12) + (A20=Inputs!$C$13)*(Inputs!$D$13) + (A20=Inputs!$C$14)*(Inputs!$D$14)) *(A20 &gt;= a_afil)*(A20&gt;=2024)</f>
        <v>0</v>
      </c>
      <c r="E20" s="30">
        <v>0</v>
      </c>
      <c r="F20" s="30">
        <f t="shared" si="9"/>
        <v>0</v>
      </c>
      <c r="G20" s="30">
        <f t="shared" si="10"/>
        <v>0</v>
      </c>
      <c r="H20" s="30">
        <v>0.53302234411239624</v>
      </c>
      <c r="I20" s="37">
        <f t="shared" si="11"/>
        <v>0</v>
      </c>
      <c r="J20" s="37">
        <f t="shared" si="12"/>
        <v>0</v>
      </c>
      <c r="K20" s="84"/>
      <c r="L20" s="71"/>
      <c r="M20" s="87"/>
      <c r="N20" s="47"/>
      <c r="O20" s="47"/>
      <c r="P20" s="47"/>
      <c r="Q20" s="54">
        <f t="shared" si="22"/>
        <v>0</v>
      </c>
      <c r="R20" s="54">
        <f t="shared" si="23"/>
        <v>0</v>
      </c>
      <c r="S20" s="54">
        <f t="shared" si="14"/>
        <v>0</v>
      </c>
      <c r="T20" s="54">
        <f t="shared" si="15"/>
        <v>0</v>
      </c>
      <c r="U20" s="47"/>
      <c r="V20" s="47"/>
      <c r="W20" s="47"/>
      <c r="X20" s="70">
        <f t="shared" si="24"/>
        <v>0</v>
      </c>
      <c r="Y20" s="70">
        <f t="shared" si="25"/>
        <v>0</v>
      </c>
      <c r="Z20" s="70">
        <f t="shared" si="26"/>
        <v>0</v>
      </c>
      <c r="AA20" s="70">
        <f t="shared" si="27"/>
        <v>0</v>
      </c>
      <c r="AG20" s="52">
        <f t="shared" si="16"/>
        <v>0</v>
      </c>
      <c r="AH20" s="52">
        <f t="shared" si="17"/>
        <v>0</v>
      </c>
      <c r="AI20" s="52">
        <f t="shared" si="18"/>
        <v>0</v>
      </c>
      <c r="AJ20" s="52">
        <f t="shared" si="19"/>
        <v>0</v>
      </c>
      <c r="AK20" s="30"/>
      <c r="AL20" s="30"/>
      <c r="AM20" s="30"/>
      <c r="AN20" s="30"/>
      <c r="AO20" s="30"/>
      <c r="AP20" s="30"/>
      <c r="AS20" s="39"/>
      <c r="AT20" s="47"/>
      <c r="AU20" s="47"/>
      <c r="AV20" s="52">
        <f t="shared" si="20"/>
        <v>0</v>
      </c>
      <c r="AW20" s="52">
        <f t="shared" si="21"/>
        <v>0</v>
      </c>
      <c r="AX20" s="39"/>
      <c r="AY20" s="39"/>
    </row>
    <row r="21" spans="1:51" x14ac:dyDescent="0.25">
      <c r="A21" s="30">
        <v>1986</v>
      </c>
      <c r="B21" s="33">
        <f>w_uf*UF*Parámetros!C8</f>
        <v>355266.04053559707</v>
      </c>
      <c r="C21" s="30">
        <f t="shared" si="8"/>
        <v>7</v>
      </c>
      <c r="D21" s="30">
        <f>((A21=Inputs!$C$12)*(Inputs!$D$12) + (A21=Inputs!$C$13)*(Inputs!$D$13) + (A21=Inputs!$C$14)*(Inputs!$D$14)) *(A21 &gt;= a_afil)*(A21&gt;=2024)</f>
        <v>0</v>
      </c>
      <c r="E21" s="30">
        <v>0</v>
      </c>
      <c r="F21" s="30">
        <f t="shared" si="9"/>
        <v>0</v>
      </c>
      <c r="G21" s="30">
        <f t="shared" si="10"/>
        <v>0</v>
      </c>
      <c r="H21" s="30">
        <v>0.56100928783416748</v>
      </c>
      <c r="I21" s="37">
        <f t="shared" si="11"/>
        <v>0</v>
      </c>
      <c r="J21" s="37">
        <f t="shared" si="12"/>
        <v>0</v>
      </c>
      <c r="K21" s="84"/>
      <c r="L21" s="71"/>
      <c r="M21" s="87"/>
      <c r="N21" s="47"/>
      <c r="O21" s="47"/>
      <c r="P21" s="47"/>
      <c r="Q21" s="54">
        <f t="shared" si="22"/>
        <v>0</v>
      </c>
      <c r="R21" s="54">
        <f t="shared" si="23"/>
        <v>0</v>
      </c>
      <c r="S21" s="54">
        <f t="shared" si="14"/>
        <v>0</v>
      </c>
      <c r="T21" s="54">
        <f t="shared" si="15"/>
        <v>0</v>
      </c>
      <c r="U21" s="47"/>
      <c r="V21" s="47"/>
      <c r="W21" s="47"/>
      <c r="X21" s="70">
        <f t="shared" si="24"/>
        <v>0</v>
      </c>
      <c r="Y21" s="70">
        <f t="shared" si="25"/>
        <v>0</v>
      </c>
      <c r="Z21" s="70">
        <f t="shared" si="26"/>
        <v>0</v>
      </c>
      <c r="AA21" s="70">
        <f t="shared" si="27"/>
        <v>0</v>
      </c>
      <c r="AG21" s="52">
        <f t="shared" si="16"/>
        <v>0</v>
      </c>
      <c r="AH21" s="52">
        <f t="shared" si="17"/>
        <v>0</v>
      </c>
      <c r="AI21" s="52">
        <f t="shared" si="18"/>
        <v>0</v>
      </c>
      <c r="AJ21" s="52">
        <f t="shared" si="19"/>
        <v>0</v>
      </c>
      <c r="AK21" s="30"/>
      <c r="AL21" s="30"/>
      <c r="AM21" s="30"/>
      <c r="AN21" s="30"/>
      <c r="AO21" s="30"/>
      <c r="AP21" s="30"/>
      <c r="AS21" s="39"/>
      <c r="AT21" s="47"/>
      <c r="AU21" s="47"/>
      <c r="AV21" s="52">
        <f t="shared" si="20"/>
        <v>0</v>
      </c>
      <c r="AW21" s="52">
        <f t="shared" si="21"/>
        <v>0</v>
      </c>
      <c r="AX21" s="39"/>
      <c r="AY21" s="39"/>
    </row>
    <row r="22" spans="1:51" x14ac:dyDescent="0.25">
      <c r="A22" s="30">
        <v>1987</v>
      </c>
      <c r="B22" s="33">
        <f>w_uf*UF*Parámetros!C9</f>
        <v>359257.97682883986</v>
      </c>
      <c r="C22" s="30">
        <f t="shared" si="8"/>
        <v>8</v>
      </c>
      <c r="D22" s="30">
        <f>((A22=Inputs!$C$12)*(Inputs!$D$12) + (A22=Inputs!$C$13)*(Inputs!$D$13) + (A22=Inputs!$C$14)*(Inputs!$D$14)) *(A22 &gt;= a_afil)*(A22&gt;=2024)</f>
        <v>0</v>
      </c>
      <c r="E22" s="30">
        <v>0</v>
      </c>
      <c r="F22" s="30">
        <f t="shared" si="9"/>
        <v>0</v>
      </c>
      <c r="G22" s="30">
        <f t="shared" si="10"/>
        <v>0</v>
      </c>
      <c r="H22" s="30">
        <v>0.21673351526260376</v>
      </c>
      <c r="I22" s="37">
        <f t="shared" si="11"/>
        <v>0</v>
      </c>
      <c r="J22" s="37">
        <f t="shared" si="12"/>
        <v>0</v>
      </c>
      <c r="K22" s="84"/>
      <c r="L22" s="71"/>
      <c r="M22" s="87"/>
      <c r="N22" s="47"/>
      <c r="O22" s="47"/>
      <c r="P22" s="47"/>
      <c r="Q22" s="54">
        <f t="shared" si="22"/>
        <v>0</v>
      </c>
      <c r="R22" s="54">
        <f t="shared" si="23"/>
        <v>0</v>
      </c>
      <c r="S22" s="54">
        <f t="shared" si="14"/>
        <v>0</v>
      </c>
      <c r="T22" s="54">
        <f t="shared" si="15"/>
        <v>0</v>
      </c>
      <c r="U22" s="47"/>
      <c r="V22" s="47"/>
      <c r="W22" s="47"/>
      <c r="X22" s="70">
        <f t="shared" si="24"/>
        <v>0</v>
      </c>
      <c r="Y22" s="70">
        <f t="shared" si="25"/>
        <v>0</v>
      </c>
      <c r="Z22" s="70">
        <f t="shared" si="26"/>
        <v>0</v>
      </c>
      <c r="AA22" s="70">
        <f t="shared" si="27"/>
        <v>0</v>
      </c>
      <c r="AG22" s="52">
        <f t="shared" si="16"/>
        <v>0</v>
      </c>
      <c r="AH22" s="52">
        <f t="shared" si="17"/>
        <v>0</v>
      </c>
      <c r="AI22" s="52">
        <f t="shared" si="18"/>
        <v>0</v>
      </c>
      <c r="AJ22" s="52">
        <f t="shared" si="19"/>
        <v>0</v>
      </c>
      <c r="AK22" s="30"/>
      <c r="AL22" s="30"/>
      <c r="AM22" s="30"/>
      <c r="AN22" s="30"/>
      <c r="AO22" s="30"/>
      <c r="AP22" s="30"/>
      <c r="AS22" s="39"/>
      <c r="AT22" s="47"/>
      <c r="AU22" s="47"/>
      <c r="AV22" s="52">
        <f t="shared" si="20"/>
        <v>0</v>
      </c>
      <c r="AW22" s="52">
        <f t="shared" si="21"/>
        <v>0</v>
      </c>
      <c r="AX22" s="39"/>
      <c r="AY22" s="39"/>
    </row>
    <row r="23" spans="1:51" x14ac:dyDescent="0.25">
      <c r="A23" s="30">
        <v>1988</v>
      </c>
      <c r="B23" s="33">
        <f>w_uf*UF*Parámetros!C10</f>
        <v>360615.50271978014</v>
      </c>
      <c r="C23" s="30">
        <f t="shared" si="8"/>
        <v>9</v>
      </c>
      <c r="D23" s="30">
        <f>((A23=Inputs!$C$12)*(Inputs!$D$12) + (A23=Inputs!$C$13)*(Inputs!$D$13) + (A23=Inputs!$C$14)*(Inputs!$D$14)) *(A23 &gt;= a_afil)*(A23&gt;=2024)</f>
        <v>0</v>
      </c>
      <c r="E23" s="30">
        <v>0</v>
      </c>
      <c r="F23" s="30">
        <f t="shared" si="9"/>
        <v>0</v>
      </c>
      <c r="G23" s="30">
        <f t="shared" si="10"/>
        <v>0</v>
      </c>
      <c r="H23" s="30">
        <v>0.46800565719604492</v>
      </c>
      <c r="I23" s="37">
        <f t="shared" si="11"/>
        <v>0</v>
      </c>
      <c r="J23" s="37">
        <f t="shared" si="12"/>
        <v>0</v>
      </c>
      <c r="K23" s="84"/>
      <c r="L23" s="71"/>
      <c r="M23" s="87"/>
      <c r="N23" s="47"/>
      <c r="O23" s="47"/>
      <c r="P23" s="47"/>
      <c r="Q23" s="54">
        <f t="shared" si="22"/>
        <v>0</v>
      </c>
      <c r="R23" s="54">
        <f t="shared" si="23"/>
        <v>0</v>
      </c>
      <c r="S23" s="54">
        <f t="shared" si="14"/>
        <v>0</v>
      </c>
      <c r="T23" s="54">
        <f t="shared" si="15"/>
        <v>0</v>
      </c>
      <c r="U23" s="47"/>
      <c r="V23" s="47"/>
      <c r="W23" s="47"/>
      <c r="X23" s="70">
        <f t="shared" si="24"/>
        <v>0</v>
      </c>
      <c r="Y23" s="70">
        <f t="shared" si="25"/>
        <v>0</v>
      </c>
      <c r="Z23" s="70">
        <f t="shared" si="26"/>
        <v>0</v>
      </c>
      <c r="AA23" s="70">
        <f t="shared" si="27"/>
        <v>0</v>
      </c>
      <c r="AG23" s="52">
        <f t="shared" si="16"/>
        <v>0</v>
      </c>
      <c r="AH23" s="52">
        <f t="shared" si="17"/>
        <v>0</v>
      </c>
      <c r="AI23" s="52">
        <f t="shared" si="18"/>
        <v>0</v>
      </c>
      <c r="AJ23" s="52">
        <f t="shared" si="19"/>
        <v>0</v>
      </c>
      <c r="AK23" s="30"/>
      <c r="AL23" s="30"/>
      <c r="AM23" s="30"/>
      <c r="AN23" s="30"/>
      <c r="AO23" s="30"/>
      <c r="AP23" s="30"/>
      <c r="AS23" s="39"/>
      <c r="AT23" s="47"/>
      <c r="AU23" s="47"/>
      <c r="AV23" s="52">
        <f t="shared" si="20"/>
        <v>0</v>
      </c>
      <c r="AW23" s="52">
        <f t="shared" si="21"/>
        <v>0</v>
      </c>
      <c r="AX23" s="39"/>
      <c r="AY23" s="39"/>
    </row>
    <row r="24" spans="1:51" x14ac:dyDescent="0.25">
      <c r="A24" s="30">
        <v>1989</v>
      </c>
      <c r="B24" s="33">
        <f>w_uf*UF*Parámetros!C11</f>
        <v>380483.57160776353</v>
      </c>
      <c r="C24" s="30">
        <f t="shared" si="8"/>
        <v>10</v>
      </c>
      <c r="D24" s="30">
        <f>((A24=Inputs!$C$12)*(Inputs!$D$12) + (A24=Inputs!$C$13)*(Inputs!$D$13) + (A24=Inputs!$C$14)*(Inputs!$D$14)) *(A24 &gt;= a_afil)*(A24&gt;=2024)</f>
        <v>0</v>
      </c>
      <c r="E24" s="30">
        <v>0</v>
      </c>
      <c r="F24" s="30">
        <f t="shared" si="9"/>
        <v>0</v>
      </c>
      <c r="G24" s="30">
        <f t="shared" si="10"/>
        <v>0</v>
      </c>
      <c r="H24" s="30">
        <v>0.74635475873947144</v>
      </c>
      <c r="I24" s="37">
        <f t="shared" si="11"/>
        <v>0</v>
      </c>
      <c r="J24" s="37">
        <f t="shared" si="12"/>
        <v>0</v>
      </c>
      <c r="K24" s="84"/>
      <c r="L24" s="71"/>
      <c r="M24" s="87"/>
      <c r="N24" s="47"/>
      <c r="O24" s="47"/>
      <c r="P24" s="47"/>
      <c r="Q24" s="54">
        <f t="shared" si="22"/>
        <v>0</v>
      </c>
      <c r="R24" s="54">
        <f t="shared" si="23"/>
        <v>0</v>
      </c>
      <c r="S24" s="54">
        <f t="shared" si="14"/>
        <v>0</v>
      </c>
      <c r="T24" s="54">
        <f t="shared" si="15"/>
        <v>0</v>
      </c>
      <c r="U24" s="47"/>
      <c r="V24" s="47"/>
      <c r="W24" s="47"/>
      <c r="X24" s="70">
        <f t="shared" si="24"/>
        <v>0</v>
      </c>
      <c r="Y24" s="70">
        <f t="shared" si="25"/>
        <v>0</v>
      </c>
      <c r="Z24" s="70">
        <f t="shared" si="26"/>
        <v>0</v>
      </c>
      <c r="AA24" s="70">
        <f t="shared" si="27"/>
        <v>0</v>
      </c>
      <c r="AG24" s="52">
        <f t="shared" si="16"/>
        <v>0</v>
      </c>
      <c r="AH24" s="52">
        <f t="shared" si="17"/>
        <v>0</v>
      </c>
      <c r="AI24" s="52">
        <f t="shared" si="18"/>
        <v>0</v>
      </c>
      <c r="AJ24" s="52">
        <f t="shared" si="19"/>
        <v>0</v>
      </c>
      <c r="AK24" s="30"/>
      <c r="AL24" s="30"/>
      <c r="AM24" s="30"/>
      <c r="AN24" s="30"/>
      <c r="AO24" s="30"/>
      <c r="AP24" s="30"/>
      <c r="AS24" s="39"/>
      <c r="AT24" s="47"/>
      <c r="AU24" s="47"/>
      <c r="AV24" s="52">
        <f t="shared" si="20"/>
        <v>0</v>
      </c>
      <c r="AW24" s="52">
        <f t="shared" si="21"/>
        <v>0</v>
      </c>
      <c r="AX24" s="39"/>
      <c r="AY24" s="39"/>
    </row>
    <row r="25" spans="1:51" x14ac:dyDescent="0.25">
      <c r="A25" s="30">
        <v>1990</v>
      </c>
      <c r="B25" s="33">
        <f>w_uf*UF*Parámetros!C12</f>
        <v>391749.31518672069</v>
      </c>
      <c r="C25" s="30">
        <f t="shared" si="8"/>
        <v>11</v>
      </c>
      <c r="D25" s="30">
        <f>((A25=Inputs!$C$12)*(Inputs!$D$12) + (A25=Inputs!$C$13)*(Inputs!$D$13) + (A25=Inputs!$C$14)*(Inputs!$D$14)) *(A25 &gt;= a_afil)*(A25&gt;=2024)</f>
        <v>0</v>
      </c>
      <c r="E25" s="30">
        <v>0</v>
      </c>
      <c r="F25" s="30">
        <f t="shared" si="9"/>
        <v>0</v>
      </c>
      <c r="G25" s="30">
        <f t="shared" si="10"/>
        <v>0</v>
      </c>
      <c r="H25" s="30">
        <v>0.75231087207794189</v>
      </c>
      <c r="I25" s="37">
        <f t="shared" si="11"/>
        <v>0</v>
      </c>
      <c r="J25" s="37">
        <f t="shared" si="12"/>
        <v>0</v>
      </c>
      <c r="K25" s="84"/>
      <c r="L25" s="71"/>
      <c r="M25" s="87"/>
      <c r="N25" s="47"/>
      <c r="O25" s="47"/>
      <c r="P25" s="47"/>
      <c r="Q25" s="54">
        <f t="shared" si="22"/>
        <v>0</v>
      </c>
      <c r="R25" s="54">
        <f t="shared" si="23"/>
        <v>0</v>
      </c>
      <c r="S25" s="54">
        <f t="shared" si="14"/>
        <v>0</v>
      </c>
      <c r="T25" s="54">
        <f t="shared" si="15"/>
        <v>0</v>
      </c>
      <c r="U25" s="47"/>
      <c r="V25" s="47"/>
      <c r="W25" s="47"/>
      <c r="X25" s="70">
        <f t="shared" si="24"/>
        <v>0</v>
      </c>
      <c r="Y25" s="70">
        <f t="shared" si="25"/>
        <v>0</v>
      </c>
      <c r="Z25" s="70">
        <f t="shared" si="26"/>
        <v>0</v>
      </c>
      <c r="AA25" s="70">
        <f t="shared" si="27"/>
        <v>0</v>
      </c>
      <c r="AG25" s="52">
        <f t="shared" si="16"/>
        <v>0</v>
      </c>
      <c r="AH25" s="52">
        <f t="shared" si="17"/>
        <v>0</v>
      </c>
      <c r="AI25" s="52">
        <f t="shared" si="18"/>
        <v>0</v>
      </c>
      <c r="AJ25" s="52">
        <f t="shared" si="19"/>
        <v>0</v>
      </c>
      <c r="AK25" s="30"/>
      <c r="AL25" s="30"/>
      <c r="AM25" s="30"/>
      <c r="AN25" s="30"/>
      <c r="AO25" s="30"/>
      <c r="AP25" s="30"/>
      <c r="AS25" s="39"/>
      <c r="AT25" s="47"/>
      <c r="AU25" s="47"/>
      <c r="AV25" s="52">
        <f t="shared" si="20"/>
        <v>0</v>
      </c>
      <c r="AW25" s="52">
        <f t="shared" si="21"/>
        <v>0</v>
      </c>
      <c r="AX25" s="39"/>
      <c r="AY25" s="39"/>
    </row>
    <row r="26" spans="1:51" x14ac:dyDescent="0.25">
      <c r="A26" s="30">
        <v>1991</v>
      </c>
      <c r="B26" s="33">
        <f>w_uf*UF*Parámetros!C13</f>
        <v>401198.74425541307</v>
      </c>
      <c r="C26" s="30">
        <f t="shared" si="8"/>
        <v>12</v>
      </c>
      <c r="D26" s="30">
        <f>((A26=Inputs!$C$12)*(Inputs!$D$12) + (A26=Inputs!$C$13)*(Inputs!$D$13) + (A26=Inputs!$C$14)*(Inputs!$D$14)) *(A26 &gt;= a_afil)*(A26&gt;=2024)</f>
        <v>0</v>
      </c>
      <c r="E26" s="30">
        <v>0</v>
      </c>
      <c r="F26" s="30">
        <f t="shared" si="9"/>
        <v>0</v>
      </c>
      <c r="G26" s="30">
        <f t="shared" si="10"/>
        <v>0</v>
      </c>
      <c r="H26" s="30">
        <v>0.39893227815628052</v>
      </c>
      <c r="I26" s="37">
        <f t="shared" si="11"/>
        <v>0</v>
      </c>
      <c r="J26" s="37">
        <f t="shared" si="12"/>
        <v>0</v>
      </c>
      <c r="K26" s="84"/>
      <c r="L26" s="71"/>
      <c r="M26" s="87"/>
      <c r="N26" s="47"/>
      <c r="O26" s="47"/>
      <c r="P26" s="47"/>
      <c r="Q26" s="54">
        <f t="shared" si="22"/>
        <v>0</v>
      </c>
      <c r="R26" s="54">
        <f t="shared" si="23"/>
        <v>0</v>
      </c>
      <c r="S26" s="54">
        <f t="shared" si="14"/>
        <v>0</v>
      </c>
      <c r="T26" s="54">
        <f t="shared" si="15"/>
        <v>0</v>
      </c>
      <c r="U26" s="47"/>
      <c r="V26" s="47"/>
      <c r="W26" s="47"/>
      <c r="X26" s="70">
        <f t="shared" si="24"/>
        <v>0</v>
      </c>
      <c r="Y26" s="70">
        <f t="shared" si="25"/>
        <v>0</v>
      </c>
      <c r="Z26" s="70">
        <f t="shared" si="26"/>
        <v>0</v>
      </c>
      <c r="AA26" s="70">
        <f t="shared" si="27"/>
        <v>0</v>
      </c>
      <c r="AG26" s="52">
        <f t="shared" si="16"/>
        <v>0</v>
      </c>
      <c r="AH26" s="52">
        <f t="shared" si="17"/>
        <v>0</v>
      </c>
      <c r="AI26" s="52">
        <f t="shared" si="18"/>
        <v>0</v>
      </c>
      <c r="AJ26" s="52">
        <f t="shared" si="19"/>
        <v>0</v>
      </c>
      <c r="AK26" s="30"/>
      <c r="AL26" s="30"/>
      <c r="AM26" s="30"/>
      <c r="AN26" s="30"/>
      <c r="AO26" s="30"/>
      <c r="AP26" s="30"/>
      <c r="AS26" s="39"/>
      <c r="AT26" s="47"/>
      <c r="AU26" s="47"/>
      <c r="AV26" s="52">
        <f t="shared" si="20"/>
        <v>0</v>
      </c>
      <c r="AW26" s="52">
        <f t="shared" si="21"/>
        <v>0</v>
      </c>
      <c r="AX26" s="39"/>
      <c r="AY26" s="39"/>
    </row>
    <row r="27" spans="1:51" x14ac:dyDescent="0.25">
      <c r="A27" s="30">
        <v>1992</v>
      </c>
      <c r="B27" s="33">
        <f>w_uf*UF*Parámetros!C14</f>
        <v>418002.87828180124</v>
      </c>
      <c r="C27" s="30">
        <f t="shared" si="8"/>
        <v>13</v>
      </c>
      <c r="D27" s="30">
        <f>((A27=Inputs!$C$12)*(Inputs!$D$12) + (A27=Inputs!$C$13)*(Inputs!$D$13) + (A27=Inputs!$C$14)*(Inputs!$D$14)) *(A27 &gt;= a_afil)*(A27&gt;=2024)</f>
        <v>0</v>
      </c>
      <c r="E27" s="30">
        <v>0</v>
      </c>
      <c r="F27" s="30">
        <f t="shared" si="9"/>
        <v>0</v>
      </c>
      <c r="G27" s="30">
        <f t="shared" si="10"/>
        <v>0</v>
      </c>
      <c r="H27" s="30">
        <v>0.90309882164001465</v>
      </c>
      <c r="I27" s="37">
        <f t="shared" si="11"/>
        <v>0</v>
      </c>
      <c r="J27" s="37">
        <f t="shared" si="12"/>
        <v>0</v>
      </c>
      <c r="K27" s="84"/>
      <c r="L27" s="71"/>
      <c r="M27" s="87"/>
      <c r="N27" s="47"/>
      <c r="O27" s="47"/>
      <c r="P27" s="47"/>
      <c r="Q27" s="54">
        <f t="shared" si="22"/>
        <v>0</v>
      </c>
      <c r="R27" s="54">
        <f t="shared" si="23"/>
        <v>0</v>
      </c>
      <c r="S27" s="54">
        <f t="shared" si="14"/>
        <v>0</v>
      </c>
      <c r="T27" s="54">
        <f t="shared" si="15"/>
        <v>0</v>
      </c>
      <c r="U27" s="47"/>
      <c r="V27" s="47"/>
      <c r="W27" s="47"/>
      <c r="X27" s="70">
        <f t="shared" si="24"/>
        <v>0</v>
      </c>
      <c r="Y27" s="70">
        <f t="shared" si="25"/>
        <v>0</v>
      </c>
      <c r="Z27" s="70">
        <f t="shared" si="26"/>
        <v>0</v>
      </c>
      <c r="AA27" s="70">
        <f t="shared" si="27"/>
        <v>0</v>
      </c>
      <c r="AG27" s="52">
        <f t="shared" si="16"/>
        <v>0</v>
      </c>
      <c r="AH27" s="52">
        <f t="shared" si="17"/>
        <v>0</v>
      </c>
      <c r="AI27" s="52">
        <f t="shared" si="18"/>
        <v>0</v>
      </c>
      <c r="AJ27" s="52">
        <f t="shared" si="19"/>
        <v>0</v>
      </c>
      <c r="AK27" s="30"/>
      <c r="AL27" s="30"/>
      <c r="AM27" s="30"/>
      <c r="AN27" s="30"/>
      <c r="AO27" s="30"/>
      <c r="AP27" s="30"/>
      <c r="AS27" s="39"/>
      <c r="AT27" s="47"/>
      <c r="AU27" s="47"/>
      <c r="AV27" s="52">
        <f t="shared" si="20"/>
        <v>0</v>
      </c>
      <c r="AW27" s="52">
        <f t="shared" si="21"/>
        <v>0</v>
      </c>
      <c r="AX27" s="39"/>
      <c r="AY27" s="39"/>
    </row>
    <row r="28" spans="1:51" x14ac:dyDescent="0.25">
      <c r="A28" s="30">
        <v>1993</v>
      </c>
      <c r="B28" s="33">
        <f>w_uf*UF*Parámetros!C15</f>
        <v>435209.71654134156</v>
      </c>
      <c r="C28" s="30">
        <f t="shared" si="8"/>
        <v>14</v>
      </c>
      <c r="D28" s="30">
        <f>((A28=Inputs!$C$12)*(Inputs!$D$12) + (A28=Inputs!$C$13)*(Inputs!$D$13) + (A28=Inputs!$C$14)*(Inputs!$D$14)) *(A28 &gt;= a_afil)*(A28&gt;=2024)</f>
        <v>0</v>
      </c>
      <c r="E28" s="30">
        <v>0</v>
      </c>
      <c r="F28" s="30">
        <f t="shared" si="9"/>
        <v>0</v>
      </c>
      <c r="G28" s="30">
        <f t="shared" si="10"/>
        <v>0</v>
      </c>
      <c r="H28" s="30">
        <v>0.74600690603256226</v>
      </c>
      <c r="I28" s="37">
        <f t="shared" si="11"/>
        <v>0</v>
      </c>
      <c r="J28" s="37">
        <f t="shared" si="12"/>
        <v>0</v>
      </c>
      <c r="K28" s="84"/>
      <c r="L28" s="71"/>
      <c r="M28" s="87"/>
      <c r="N28" s="47"/>
      <c r="O28" s="47"/>
      <c r="P28" s="47"/>
      <c r="Q28" s="54">
        <f t="shared" si="22"/>
        <v>0</v>
      </c>
      <c r="R28" s="54">
        <f t="shared" si="23"/>
        <v>0</v>
      </c>
      <c r="S28" s="54">
        <f t="shared" si="14"/>
        <v>0</v>
      </c>
      <c r="T28" s="54">
        <f t="shared" si="15"/>
        <v>0</v>
      </c>
      <c r="U28" s="47"/>
      <c r="V28" s="47"/>
      <c r="W28" s="47"/>
      <c r="X28" s="70">
        <f t="shared" si="24"/>
        <v>0</v>
      </c>
      <c r="Y28" s="70">
        <f t="shared" si="25"/>
        <v>0</v>
      </c>
      <c r="Z28" s="70">
        <f t="shared" si="26"/>
        <v>0</v>
      </c>
      <c r="AA28" s="70">
        <f t="shared" si="27"/>
        <v>0</v>
      </c>
      <c r="AG28" s="52">
        <f t="shared" si="16"/>
        <v>0</v>
      </c>
      <c r="AH28" s="52">
        <f t="shared" si="17"/>
        <v>0</v>
      </c>
      <c r="AI28" s="52">
        <f t="shared" si="18"/>
        <v>0</v>
      </c>
      <c r="AJ28" s="52">
        <f t="shared" si="19"/>
        <v>0</v>
      </c>
      <c r="AK28" s="30"/>
      <c r="AL28" s="30"/>
      <c r="AM28" s="30"/>
      <c r="AN28" s="30"/>
      <c r="AO28" s="30"/>
      <c r="AP28" s="30"/>
      <c r="AS28" s="39"/>
      <c r="AT28" s="47"/>
      <c r="AU28" s="47"/>
      <c r="AV28" s="52">
        <f t="shared" si="20"/>
        <v>0</v>
      </c>
      <c r="AW28" s="52">
        <f t="shared" si="21"/>
        <v>0</v>
      </c>
      <c r="AX28" s="39"/>
      <c r="AY28" s="39"/>
    </row>
    <row r="29" spans="1:51" x14ac:dyDescent="0.25">
      <c r="A29" s="30">
        <v>1994</v>
      </c>
      <c r="B29" s="33">
        <f>w_uf*UF*Parámetros!C16</f>
        <v>450251.23358828295</v>
      </c>
      <c r="C29" s="30">
        <f t="shared" si="8"/>
        <v>15</v>
      </c>
      <c r="D29" s="30">
        <f>((A29=Inputs!$C$12)*(Inputs!$D$12) + (A29=Inputs!$C$13)*(Inputs!$D$13) + (A29=Inputs!$C$14)*(Inputs!$D$14)) *(A29 &gt;= a_afil)*(A29&gt;=2024)</f>
        <v>0</v>
      </c>
      <c r="E29" s="30">
        <v>0</v>
      </c>
      <c r="F29" s="30">
        <f t="shared" si="9"/>
        <v>0</v>
      </c>
      <c r="G29" s="30">
        <f t="shared" si="10"/>
        <v>0</v>
      </c>
      <c r="H29" s="30">
        <v>8.8559508323669434E-2</v>
      </c>
      <c r="I29" s="37">
        <f t="shared" si="11"/>
        <v>0</v>
      </c>
      <c r="J29" s="37">
        <f t="shared" si="12"/>
        <v>0</v>
      </c>
      <c r="K29" s="84"/>
      <c r="L29" s="71"/>
      <c r="M29" s="87"/>
      <c r="N29" s="47"/>
      <c r="O29" s="47"/>
      <c r="P29" s="47"/>
      <c r="Q29" s="54">
        <f t="shared" si="22"/>
        <v>0</v>
      </c>
      <c r="R29" s="54">
        <f t="shared" si="23"/>
        <v>0</v>
      </c>
      <c r="S29" s="54">
        <f t="shared" si="14"/>
        <v>0</v>
      </c>
      <c r="T29" s="54">
        <f t="shared" si="15"/>
        <v>0</v>
      </c>
      <c r="U29" s="47"/>
      <c r="V29" s="47"/>
      <c r="W29" s="47"/>
      <c r="X29" s="70">
        <f t="shared" si="24"/>
        <v>0</v>
      </c>
      <c r="Y29" s="70">
        <f t="shared" si="25"/>
        <v>0</v>
      </c>
      <c r="Z29" s="70">
        <f t="shared" si="26"/>
        <v>0</v>
      </c>
      <c r="AA29" s="70">
        <f t="shared" si="27"/>
        <v>0</v>
      </c>
      <c r="AG29" s="52">
        <f t="shared" si="16"/>
        <v>0</v>
      </c>
      <c r="AH29" s="52">
        <f t="shared" si="17"/>
        <v>0</v>
      </c>
      <c r="AI29" s="52">
        <f t="shared" si="18"/>
        <v>0</v>
      </c>
      <c r="AJ29" s="52">
        <f t="shared" si="19"/>
        <v>0</v>
      </c>
      <c r="AK29" s="30"/>
      <c r="AL29" s="30"/>
      <c r="AM29" s="30"/>
      <c r="AN29" s="30"/>
      <c r="AO29" s="30"/>
      <c r="AP29" s="30"/>
      <c r="AS29" s="39"/>
      <c r="AT29" s="47"/>
      <c r="AU29" s="47"/>
      <c r="AV29" s="52">
        <f t="shared" si="20"/>
        <v>0</v>
      </c>
      <c r="AW29" s="52">
        <f t="shared" si="21"/>
        <v>0</v>
      </c>
      <c r="AX29" s="39"/>
      <c r="AY29" s="39"/>
    </row>
    <row r="30" spans="1:51" x14ac:dyDescent="0.25">
      <c r="A30" s="30">
        <v>1995</v>
      </c>
      <c r="B30" s="33">
        <f>w_uf*UF*Parámetros!C17</f>
        <v>478018.08507792832</v>
      </c>
      <c r="C30" s="30">
        <f t="shared" si="8"/>
        <v>16</v>
      </c>
      <c r="D30" s="30">
        <f>((A30=Inputs!$C$12)*(Inputs!$D$12) + (A30=Inputs!$C$13)*(Inputs!$D$13) + (A30=Inputs!$C$14)*(Inputs!$D$14)) *(A30 &gt;= a_afil)*(A30&gt;=2024)</f>
        <v>0</v>
      </c>
      <c r="E30" s="30">
        <v>0</v>
      </c>
      <c r="F30" s="30">
        <f t="shared" si="9"/>
        <v>0</v>
      </c>
      <c r="G30" s="30">
        <f t="shared" si="10"/>
        <v>0</v>
      </c>
      <c r="H30" s="30">
        <v>0.6345711350440979</v>
      </c>
      <c r="I30" s="37">
        <f t="shared" si="11"/>
        <v>0</v>
      </c>
      <c r="J30" s="37">
        <f t="shared" si="12"/>
        <v>0</v>
      </c>
      <c r="K30" s="84"/>
      <c r="L30" s="71"/>
      <c r="M30" s="87"/>
      <c r="N30" s="47"/>
      <c r="O30" s="47"/>
      <c r="P30" s="47"/>
      <c r="Q30" s="54">
        <f t="shared" si="22"/>
        <v>0</v>
      </c>
      <c r="R30" s="54">
        <f t="shared" si="23"/>
        <v>0</v>
      </c>
      <c r="S30" s="54">
        <f t="shared" si="14"/>
        <v>0</v>
      </c>
      <c r="T30" s="54">
        <f t="shared" si="15"/>
        <v>0</v>
      </c>
      <c r="U30" s="47"/>
      <c r="V30" s="47"/>
      <c r="W30" s="47"/>
      <c r="X30" s="70">
        <f t="shared" si="24"/>
        <v>0</v>
      </c>
      <c r="Y30" s="70">
        <f t="shared" si="25"/>
        <v>0</v>
      </c>
      <c r="Z30" s="70">
        <f t="shared" si="26"/>
        <v>0</v>
      </c>
      <c r="AA30" s="70">
        <f t="shared" si="27"/>
        <v>0</v>
      </c>
      <c r="AG30" s="52">
        <f t="shared" si="16"/>
        <v>0</v>
      </c>
      <c r="AH30" s="52">
        <f t="shared" si="17"/>
        <v>0</v>
      </c>
      <c r="AI30" s="52">
        <f t="shared" si="18"/>
        <v>0</v>
      </c>
      <c r="AJ30" s="52">
        <f t="shared" si="19"/>
        <v>0</v>
      </c>
      <c r="AK30" s="30"/>
      <c r="AL30" s="30"/>
      <c r="AM30" s="30"/>
      <c r="AN30" s="30"/>
      <c r="AO30" s="30"/>
      <c r="AP30" s="30"/>
      <c r="AS30" s="39"/>
      <c r="AT30" s="47"/>
      <c r="AU30" s="47"/>
      <c r="AV30" s="52">
        <f t="shared" si="20"/>
        <v>0</v>
      </c>
      <c r="AW30" s="52">
        <f t="shared" si="21"/>
        <v>0</v>
      </c>
      <c r="AX30" s="39"/>
      <c r="AY30" s="39"/>
    </row>
    <row r="31" spans="1:51" x14ac:dyDescent="0.25">
      <c r="A31" s="30">
        <v>1996</v>
      </c>
      <c r="B31" s="33">
        <f>w_uf*UF*Parámetros!C18</f>
        <v>501097.41534671315</v>
      </c>
      <c r="C31" s="30">
        <f t="shared" si="8"/>
        <v>17</v>
      </c>
      <c r="D31" s="30">
        <f>((A31=Inputs!$C$12)*(Inputs!$D$12) + (A31=Inputs!$C$13)*(Inputs!$D$13) + (A31=Inputs!$C$14)*(Inputs!$D$14)) *(A31 &gt;= a_afil)*(A31&gt;=2024)</f>
        <v>0</v>
      </c>
      <c r="E31" s="30">
        <v>0</v>
      </c>
      <c r="F31" s="30">
        <f t="shared" si="9"/>
        <v>0</v>
      </c>
      <c r="G31" s="30">
        <f t="shared" si="10"/>
        <v>0</v>
      </c>
      <c r="H31" s="30">
        <v>0.7130279541015625</v>
      </c>
      <c r="I31" s="37">
        <f t="shared" si="11"/>
        <v>0</v>
      </c>
      <c r="J31" s="37">
        <f t="shared" si="12"/>
        <v>0</v>
      </c>
      <c r="K31" s="84"/>
      <c r="L31" s="71"/>
      <c r="M31" s="87"/>
      <c r="N31" s="47"/>
      <c r="O31" s="47"/>
      <c r="P31" s="47"/>
      <c r="Q31" s="54">
        <f t="shared" si="22"/>
        <v>0</v>
      </c>
      <c r="R31" s="54">
        <f t="shared" si="23"/>
        <v>0</v>
      </c>
      <c r="S31" s="54">
        <f t="shared" si="14"/>
        <v>0</v>
      </c>
      <c r="T31" s="54">
        <f t="shared" si="15"/>
        <v>0</v>
      </c>
      <c r="U31" s="47"/>
      <c r="V31" s="47"/>
      <c r="W31" s="47"/>
      <c r="X31" s="70">
        <f t="shared" si="24"/>
        <v>0</v>
      </c>
      <c r="Y31" s="70">
        <f t="shared" si="25"/>
        <v>0</v>
      </c>
      <c r="Z31" s="70">
        <f t="shared" si="26"/>
        <v>0</v>
      </c>
      <c r="AA31" s="70">
        <f t="shared" si="27"/>
        <v>0</v>
      </c>
      <c r="AG31" s="52">
        <f t="shared" si="16"/>
        <v>0</v>
      </c>
      <c r="AH31" s="52">
        <f t="shared" si="17"/>
        <v>0</v>
      </c>
      <c r="AI31" s="52">
        <f t="shared" si="18"/>
        <v>0</v>
      </c>
      <c r="AJ31" s="52">
        <f t="shared" si="19"/>
        <v>0</v>
      </c>
      <c r="AK31" s="30"/>
      <c r="AL31" s="30"/>
      <c r="AM31" s="30"/>
      <c r="AN31" s="30"/>
      <c r="AO31" s="30"/>
      <c r="AP31" s="30"/>
      <c r="AS31" s="39"/>
      <c r="AT31" s="47"/>
      <c r="AU31" s="47"/>
      <c r="AV31" s="52">
        <f t="shared" si="20"/>
        <v>0</v>
      </c>
      <c r="AW31" s="52">
        <f t="shared" si="21"/>
        <v>0</v>
      </c>
      <c r="AX31" s="39"/>
      <c r="AY31" s="39"/>
    </row>
    <row r="32" spans="1:51" x14ac:dyDescent="0.25">
      <c r="A32" s="30">
        <v>1997</v>
      </c>
      <c r="B32" s="33">
        <f>w_uf*UF*Parámetros!C19</f>
        <v>521793.55390296044</v>
      </c>
      <c r="C32" s="30">
        <f t="shared" si="8"/>
        <v>18</v>
      </c>
      <c r="D32" s="30">
        <f>((A32=Inputs!$C$12)*(Inputs!$D$12) + (A32=Inputs!$C$13)*(Inputs!$D$13) + (A32=Inputs!$C$14)*(Inputs!$D$14)) *(A32 &gt;= a_afil)*(A32&gt;=2024)</f>
        <v>0</v>
      </c>
      <c r="E32" s="30">
        <v>0</v>
      </c>
      <c r="F32" s="30">
        <f t="shared" si="9"/>
        <v>0</v>
      </c>
      <c r="G32" s="30">
        <f t="shared" si="10"/>
        <v>0</v>
      </c>
      <c r="H32" s="30">
        <v>1.5682399272918701E-2</v>
      </c>
      <c r="I32" s="37">
        <f t="shared" si="11"/>
        <v>0</v>
      </c>
      <c r="J32" s="37">
        <f t="shared" si="12"/>
        <v>0</v>
      </c>
      <c r="K32" s="84"/>
      <c r="L32" s="71"/>
      <c r="M32" s="87"/>
      <c r="N32" s="47"/>
      <c r="O32" s="47"/>
      <c r="P32" s="47"/>
      <c r="Q32" s="54">
        <f t="shared" si="22"/>
        <v>0</v>
      </c>
      <c r="R32" s="54">
        <f t="shared" si="23"/>
        <v>0</v>
      </c>
      <c r="S32" s="54">
        <f t="shared" si="14"/>
        <v>0</v>
      </c>
      <c r="T32" s="54">
        <f t="shared" si="15"/>
        <v>0</v>
      </c>
      <c r="U32" s="47"/>
      <c r="V32" s="47"/>
      <c r="W32" s="47"/>
      <c r="X32" s="70">
        <f t="shared" si="24"/>
        <v>0</v>
      </c>
      <c r="Y32" s="70">
        <f t="shared" si="25"/>
        <v>0</v>
      </c>
      <c r="Z32" s="70">
        <f t="shared" si="26"/>
        <v>0</v>
      </c>
      <c r="AA32" s="70">
        <f t="shared" si="27"/>
        <v>0</v>
      </c>
      <c r="AG32" s="52">
        <f t="shared" si="16"/>
        <v>0</v>
      </c>
      <c r="AH32" s="52">
        <f t="shared" si="17"/>
        <v>0</v>
      </c>
      <c r="AI32" s="52">
        <f t="shared" si="18"/>
        <v>0</v>
      </c>
      <c r="AJ32" s="52">
        <f t="shared" si="19"/>
        <v>0</v>
      </c>
      <c r="AK32" s="30"/>
      <c r="AL32" s="30"/>
      <c r="AM32" s="30"/>
      <c r="AN32" s="30"/>
      <c r="AO32" s="30"/>
      <c r="AP32" s="30"/>
      <c r="AS32" s="39"/>
      <c r="AT32" s="47"/>
      <c r="AU32" s="47"/>
      <c r="AV32" s="52">
        <f t="shared" si="20"/>
        <v>0</v>
      </c>
      <c r="AW32" s="52">
        <f t="shared" si="21"/>
        <v>0</v>
      </c>
      <c r="AX32" s="39"/>
      <c r="AY32" s="39"/>
    </row>
    <row r="33" spans="1:51" x14ac:dyDescent="0.25">
      <c r="A33" s="30">
        <v>1998</v>
      </c>
      <c r="B33" s="33">
        <f>w_uf*UF*Parámetros!C20</f>
        <v>534336.66817947384</v>
      </c>
      <c r="C33" s="30">
        <f t="shared" si="8"/>
        <v>19</v>
      </c>
      <c r="D33" s="30">
        <f>((A33=Inputs!$C$12)*(Inputs!$D$12) + (A33=Inputs!$C$13)*(Inputs!$D$13) + (A33=Inputs!$C$14)*(Inputs!$D$14)) *(A33 &gt;= a_afil)*(A33&gt;=2024)</f>
        <v>0</v>
      </c>
      <c r="E33" s="30">
        <v>0</v>
      </c>
      <c r="F33" s="30">
        <f t="shared" si="9"/>
        <v>0</v>
      </c>
      <c r="G33" s="30">
        <f t="shared" si="10"/>
        <v>0</v>
      </c>
      <c r="H33" s="30">
        <v>0.4311443567276001</v>
      </c>
      <c r="I33" s="37">
        <f t="shared" si="11"/>
        <v>0</v>
      </c>
      <c r="J33" s="37">
        <f t="shared" si="12"/>
        <v>0</v>
      </c>
      <c r="K33" s="84"/>
      <c r="L33" s="71"/>
      <c r="M33" s="87"/>
      <c r="N33" s="47"/>
      <c r="O33" s="47"/>
      <c r="P33" s="47"/>
      <c r="Q33" s="54">
        <f t="shared" si="22"/>
        <v>0</v>
      </c>
      <c r="R33" s="54">
        <f t="shared" si="23"/>
        <v>0</v>
      </c>
      <c r="S33" s="54">
        <f t="shared" si="14"/>
        <v>0</v>
      </c>
      <c r="T33" s="54">
        <f t="shared" si="15"/>
        <v>0</v>
      </c>
      <c r="U33" s="47"/>
      <c r="V33" s="47"/>
      <c r="W33" s="47"/>
      <c r="X33" s="70">
        <f t="shared" si="24"/>
        <v>0</v>
      </c>
      <c r="Y33" s="70">
        <f t="shared" si="25"/>
        <v>0</v>
      </c>
      <c r="Z33" s="70">
        <f t="shared" si="26"/>
        <v>0</v>
      </c>
      <c r="AA33" s="70">
        <f t="shared" si="27"/>
        <v>0</v>
      </c>
      <c r="AG33" s="52">
        <f t="shared" si="16"/>
        <v>0</v>
      </c>
      <c r="AH33" s="52">
        <f t="shared" si="17"/>
        <v>0</v>
      </c>
      <c r="AI33" s="52">
        <f t="shared" si="18"/>
        <v>0</v>
      </c>
      <c r="AJ33" s="52">
        <f t="shared" si="19"/>
        <v>0</v>
      </c>
      <c r="AK33" s="30"/>
      <c r="AL33" s="30"/>
      <c r="AM33" s="30"/>
      <c r="AN33" s="30"/>
      <c r="AO33" s="30"/>
      <c r="AP33" s="30"/>
      <c r="AS33" s="39"/>
      <c r="AT33" s="47"/>
      <c r="AU33" s="47"/>
      <c r="AV33" s="52">
        <f t="shared" si="20"/>
        <v>0</v>
      </c>
      <c r="AW33" s="52">
        <f t="shared" si="21"/>
        <v>0</v>
      </c>
      <c r="AX33" s="39"/>
      <c r="AY33" s="39"/>
    </row>
    <row r="34" spans="1:51" x14ac:dyDescent="0.25">
      <c r="A34" s="30">
        <v>1999</v>
      </c>
      <c r="B34" s="33">
        <f>w_uf*UF*Parámetros!C21</f>
        <v>548510.38731193403</v>
      </c>
      <c r="C34" s="30">
        <f t="shared" si="8"/>
        <v>20</v>
      </c>
      <c r="D34" s="30">
        <f>((A34=Inputs!$C$12)*(Inputs!$D$12) + (A34=Inputs!$C$13)*(Inputs!$D$13) + (A34=Inputs!$C$14)*(Inputs!$D$14)) *(A34 &gt;= a_afil)*(A34&gt;=2024)</f>
        <v>0</v>
      </c>
      <c r="E34" s="30">
        <v>0</v>
      </c>
      <c r="F34" s="30">
        <f t="shared" si="9"/>
        <v>0</v>
      </c>
      <c r="G34" s="30">
        <f t="shared" si="10"/>
        <v>0</v>
      </c>
      <c r="H34" s="30">
        <v>0.40198260545730591</v>
      </c>
      <c r="I34" s="37">
        <f t="shared" si="11"/>
        <v>0</v>
      </c>
      <c r="J34" s="37">
        <f t="shared" si="12"/>
        <v>0</v>
      </c>
      <c r="K34" s="84"/>
      <c r="L34" s="71"/>
      <c r="M34" s="87"/>
      <c r="N34" s="47"/>
      <c r="O34" s="47"/>
      <c r="P34" s="47"/>
      <c r="Q34" s="54">
        <f t="shared" si="22"/>
        <v>0</v>
      </c>
      <c r="R34" s="54">
        <f t="shared" si="23"/>
        <v>0</v>
      </c>
      <c r="S34" s="54">
        <f t="shared" si="14"/>
        <v>0</v>
      </c>
      <c r="T34" s="54">
        <f t="shared" si="15"/>
        <v>0</v>
      </c>
      <c r="U34" s="47"/>
      <c r="V34" s="47"/>
      <c r="W34" s="47"/>
      <c r="X34" s="70">
        <f t="shared" si="24"/>
        <v>0</v>
      </c>
      <c r="Y34" s="70">
        <f t="shared" si="25"/>
        <v>0</v>
      </c>
      <c r="Z34" s="70">
        <f t="shared" si="26"/>
        <v>0</v>
      </c>
      <c r="AA34" s="70">
        <f t="shared" si="27"/>
        <v>0</v>
      </c>
      <c r="AG34" s="52">
        <f t="shared" si="16"/>
        <v>0</v>
      </c>
      <c r="AH34" s="52">
        <f t="shared" si="17"/>
        <v>0</v>
      </c>
      <c r="AI34" s="52">
        <f t="shared" si="18"/>
        <v>0</v>
      </c>
      <c r="AJ34" s="52">
        <f t="shared" si="19"/>
        <v>0</v>
      </c>
      <c r="AK34" s="30"/>
      <c r="AL34" s="30"/>
      <c r="AM34" s="30"/>
      <c r="AN34" s="30"/>
      <c r="AO34" s="30"/>
      <c r="AP34" s="30"/>
      <c r="AS34" s="39"/>
      <c r="AT34" s="47"/>
      <c r="AU34" s="47"/>
      <c r="AV34" s="52">
        <f t="shared" si="20"/>
        <v>0</v>
      </c>
      <c r="AW34" s="52">
        <f t="shared" si="21"/>
        <v>0</v>
      </c>
      <c r="AX34" s="39"/>
      <c r="AY34" s="39"/>
    </row>
    <row r="35" spans="1:51" x14ac:dyDescent="0.25">
      <c r="A35" s="30">
        <v>2000</v>
      </c>
      <c r="B35" s="33">
        <f>w_uf*UF*Parámetros!C22</f>
        <v>561868.80401642085</v>
      </c>
      <c r="C35" s="30">
        <f t="shared" si="8"/>
        <v>21</v>
      </c>
      <c r="D35" s="30">
        <f>((A35=Inputs!$C$12)*(Inputs!$D$12) + (A35=Inputs!$C$13)*(Inputs!$D$13) + (A35=Inputs!$C$14)*(Inputs!$D$14)) *(A35 &gt;= a_afil)*(A35&gt;=2024)</f>
        <v>0</v>
      </c>
      <c r="E35" s="30">
        <v>0</v>
      </c>
      <c r="F35" s="30">
        <f t="shared" si="9"/>
        <v>0</v>
      </c>
      <c r="G35" s="30">
        <f t="shared" si="10"/>
        <v>0</v>
      </c>
      <c r="H35" s="30">
        <v>0.27529549598693848</v>
      </c>
      <c r="I35" s="37">
        <f t="shared" si="11"/>
        <v>0</v>
      </c>
      <c r="J35" s="37">
        <f t="shared" si="12"/>
        <v>0</v>
      </c>
      <c r="K35" s="84"/>
      <c r="L35" s="71"/>
      <c r="M35" s="87"/>
      <c r="N35" s="47"/>
      <c r="O35" s="47"/>
      <c r="P35" s="47"/>
      <c r="Q35" s="54">
        <f t="shared" si="22"/>
        <v>0</v>
      </c>
      <c r="R35" s="54">
        <f t="shared" si="23"/>
        <v>0</v>
      </c>
      <c r="S35" s="54">
        <f t="shared" si="14"/>
        <v>0</v>
      </c>
      <c r="T35" s="54">
        <f t="shared" si="15"/>
        <v>0</v>
      </c>
      <c r="U35" s="47"/>
      <c r="V35" s="47"/>
      <c r="W35" s="47"/>
      <c r="X35" s="70">
        <f t="shared" si="24"/>
        <v>0</v>
      </c>
      <c r="Y35" s="70">
        <f t="shared" si="25"/>
        <v>0</v>
      </c>
      <c r="Z35" s="70">
        <f t="shared" si="26"/>
        <v>0</v>
      </c>
      <c r="AA35" s="70">
        <f t="shared" si="27"/>
        <v>0</v>
      </c>
      <c r="AG35" s="52">
        <f t="shared" si="16"/>
        <v>0</v>
      </c>
      <c r="AH35" s="52">
        <f t="shared" si="17"/>
        <v>0</v>
      </c>
      <c r="AI35" s="52">
        <f t="shared" si="18"/>
        <v>0</v>
      </c>
      <c r="AJ35" s="52">
        <f t="shared" si="19"/>
        <v>0</v>
      </c>
      <c r="AK35" s="30"/>
      <c r="AL35" s="30"/>
      <c r="AM35" s="30"/>
      <c r="AN35" s="30"/>
      <c r="AO35" s="30"/>
      <c r="AP35" s="30"/>
      <c r="AS35" s="39"/>
      <c r="AT35" s="47"/>
      <c r="AU35" s="47"/>
      <c r="AV35" s="52">
        <f t="shared" si="20"/>
        <v>0</v>
      </c>
      <c r="AW35" s="52">
        <f t="shared" si="21"/>
        <v>0</v>
      </c>
      <c r="AX35" s="39"/>
      <c r="AY35" s="39"/>
    </row>
    <row r="36" spans="1:51" x14ac:dyDescent="0.25">
      <c r="A36" s="30">
        <v>2001</v>
      </c>
      <c r="B36" s="33">
        <f>w_uf*UF*Parámetros!C23</f>
        <v>569645.53486785921</v>
      </c>
      <c r="C36" s="30">
        <f t="shared" si="8"/>
        <v>22</v>
      </c>
      <c r="D36" s="30">
        <f>((A36=Inputs!$C$12)*(Inputs!$D$12) + (A36=Inputs!$C$13)*(Inputs!$D$13) + (A36=Inputs!$C$14)*(Inputs!$D$14)) *(A36 &gt;= a_afil)*(A36&gt;=2024)</f>
        <v>0</v>
      </c>
      <c r="E36" s="30">
        <v>0</v>
      </c>
      <c r="F36" s="30">
        <f t="shared" si="9"/>
        <v>0</v>
      </c>
      <c r="G36" s="30">
        <f t="shared" si="10"/>
        <v>0</v>
      </c>
      <c r="H36" s="30">
        <v>0.98537391424179077</v>
      </c>
      <c r="I36" s="37">
        <f t="shared" si="11"/>
        <v>0</v>
      </c>
      <c r="J36" s="37">
        <f t="shared" si="12"/>
        <v>0</v>
      </c>
      <c r="K36" s="84"/>
      <c r="L36" s="71"/>
      <c r="M36" s="87"/>
      <c r="N36" s="47"/>
      <c r="O36" s="47"/>
      <c r="P36" s="47"/>
      <c r="Q36" s="54">
        <f t="shared" si="22"/>
        <v>0</v>
      </c>
      <c r="R36" s="54">
        <f t="shared" si="23"/>
        <v>0</v>
      </c>
      <c r="S36" s="54">
        <f t="shared" si="14"/>
        <v>0</v>
      </c>
      <c r="T36" s="54">
        <f t="shared" si="15"/>
        <v>0</v>
      </c>
      <c r="U36" s="47"/>
      <c r="V36" s="47"/>
      <c r="W36" s="47"/>
      <c r="X36" s="70">
        <f t="shared" si="24"/>
        <v>0</v>
      </c>
      <c r="Y36" s="70">
        <f t="shared" si="25"/>
        <v>0</v>
      </c>
      <c r="Z36" s="70">
        <f t="shared" si="26"/>
        <v>0</v>
      </c>
      <c r="AA36" s="70">
        <f t="shared" si="27"/>
        <v>0</v>
      </c>
      <c r="AG36" s="52">
        <f t="shared" si="16"/>
        <v>0</v>
      </c>
      <c r="AH36" s="52">
        <f t="shared" si="17"/>
        <v>0</v>
      </c>
      <c r="AI36" s="52">
        <f t="shared" si="18"/>
        <v>0</v>
      </c>
      <c r="AJ36" s="52">
        <f t="shared" si="19"/>
        <v>0</v>
      </c>
      <c r="AK36" s="30"/>
      <c r="AL36" s="30"/>
      <c r="AM36" s="30"/>
      <c r="AN36" s="30"/>
      <c r="AO36" s="30"/>
      <c r="AP36" s="30"/>
      <c r="AS36" s="39"/>
      <c r="AT36" s="47"/>
      <c r="AU36" s="47"/>
      <c r="AV36" s="52">
        <f t="shared" si="20"/>
        <v>0</v>
      </c>
      <c r="AW36" s="52">
        <f t="shared" si="21"/>
        <v>0</v>
      </c>
      <c r="AX36" s="39"/>
      <c r="AY36" s="39"/>
    </row>
    <row r="37" spans="1:51" x14ac:dyDescent="0.25">
      <c r="A37" s="30">
        <v>2002</v>
      </c>
      <c r="B37" s="33">
        <f>w_uf*UF*Parámetros!C24</f>
        <v>578864.72386109654</v>
      </c>
      <c r="C37" s="30">
        <f t="shared" si="8"/>
        <v>23</v>
      </c>
      <c r="D37" s="30">
        <f>((A37=Inputs!$C$12)*(Inputs!$D$12) + (A37=Inputs!$C$13)*(Inputs!$D$13) + (A37=Inputs!$C$14)*(Inputs!$D$14)) *(A37 &gt;= a_afil)*(A37&gt;=2024)</f>
        <v>0</v>
      </c>
      <c r="E37" s="30">
        <v>0</v>
      </c>
      <c r="F37" s="30">
        <f t="shared" si="9"/>
        <v>0</v>
      </c>
      <c r="G37" s="30">
        <f t="shared" si="10"/>
        <v>0</v>
      </c>
      <c r="H37" s="30">
        <v>0.80258738994598389</v>
      </c>
      <c r="I37" s="37">
        <f t="shared" si="11"/>
        <v>0</v>
      </c>
      <c r="J37" s="37">
        <f t="shared" si="12"/>
        <v>0</v>
      </c>
      <c r="K37" s="84"/>
      <c r="L37" s="71"/>
      <c r="M37" s="87"/>
      <c r="N37" s="47"/>
      <c r="O37" s="47"/>
      <c r="P37" s="47"/>
      <c r="Q37" s="54">
        <f t="shared" si="22"/>
        <v>0</v>
      </c>
      <c r="R37" s="54">
        <f t="shared" si="23"/>
        <v>0</v>
      </c>
      <c r="S37" s="54">
        <f t="shared" si="14"/>
        <v>0</v>
      </c>
      <c r="T37" s="54">
        <f t="shared" si="15"/>
        <v>0</v>
      </c>
      <c r="U37" s="47"/>
      <c r="V37" s="47"/>
      <c r="W37" s="47"/>
      <c r="X37" s="70">
        <f t="shared" si="24"/>
        <v>0</v>
      </c>
      <c r="Y37" s="70">
        <f t="shared" si="25"/>
        <v>0</v>
      </c>
      <c r="Z37" s="70">
        <f t="shared" si="26"/>
        <v>0</v>
      </c>
      <c r="AA37" s="70">
        <f t="shared" si="27"/>
        <v>0</v>
      </c>
      <c r="AG37" s="52">
        <f t="shared" si="16"/>
        <v>0</v>
      </c>
      <c r="AH37" s="52">
        <f t="shared" si="17"/>
        <v>0</v>
      </c>
      <c r="AI37" s="52">
        <f t="shared" si="18"/>
        <v>0</v>
      </c>
      <c r="AJ37" s="52">
        <f t="shared" si="19"/>
        <v>0</v>
      </c>
      <c r="AK37" s="30"/>
      <c r="AL37" s="30"/>
      <c r="AM37" s="30"/>
      <c r="AN37" s="30"/>
      <c r="AO37" s="30"/>
      <c r="AP37" s="30"/>
      <c r="AS37" s="39"/>
      <c r="AT37" s="47"/>
      <c r="AU37" s="47"/>
      <c r="AV37" s="52">
        <f t="shared" si="20"/>
        <v>0</v>
      </c>
      <c r="AW37" s="52">
        <f t="shared" si="21"/>
        <v>0</v>
      </c>
      <c r="AX37" s="39"/>
      <c r="AY37" s="39"/>
    </row>
    <row r="38" spans="1:51" x14ac:dyDescent="0.25">
      <c r="A38" s="30">
        <v>2003</v>
      </c>
      <c r="B38" s="33">
        <f>w_uf*UF*Parámetros!C25</f>
        <v>590592.53570963664</v>
      </c>
      <c r="C38" s="30">
        <f t="shared" si="8"/>
        <v>24</v>
      </c>
      <c r="D38" s="30">
        <f>((A38=Inputs!$C$12)*(Inputs!$D$12) + (A38=Inputs!$C$13)*(Inputs!$D$13) + (A38=Inputs!$C$14)*(Inputs!$D$14)) *(A38 &gt;= a_afil)*(A38&gt;=2024)</f>
        <v>0</v>
      </c>
      <c r="E38" s="30">
        <v>0</v>
      </c>
      <c r="F38" s="30">
        <f t="shared" si="9"/>
        <v>1</v>
      </c>
      <c r="G38" s="30">
        <f t="shared" si="10"/>
        <v>1</v>
      </c>
      <c r="H38" s="30">
        <v>0.69610077142715454</v>
      </c>
      <c r="I38" s="37">
        <f t="shared" si="11"/>
        <v>0.57999999999999996</v>
      </c>
      <c r="J38" s="37">
        <f t="shared" si="12"/>
        <v>0.57999999999999996</v>
      </c>
      <c r="K38" s="84"/>
      <c r="L38" s="71"/>
      <c r="M38" s="87"/>
      <c r="N38" s="47"/>
      <c r="O38" s="47"/>
      <c r="P38" s="47"/>
      <c r="Q38" s="54">
        <f t="shared" si="22"/>
        <v>411052.40485390706</v>
      </c>
      <c r="R38" s="54">
        <f t="shared" si="23"/>
        <v>411052.40485390706</v>
      </c>
      <c r="S38" s="54">
        <f t="shared" si="14"/>
        <v>411052.40485390706</v>
      </c>
      <c r="T38" s="54">
        <f t="shared" si="15"/>
        <v>411052.40485390706</v>
      </c>
      <c r="U38" s="47"/>
      <c r="V38" s="47"/>
      <c r="W38" s="47"/>
      <c r="X38" s="70">
        <f t="shared" si="24"/>
        <v>411052.40485390706</v>
      </c>
      <c r="Y38" s="70">
        <f t="shared" si="25"/>
        <v>411052.40485390706</v>
      </c>
      <c r="Z38" s="70">
        <f t="shared" si="26"/>
        <v>411052.40485390706</v>
      </c>
      <c r="AA38" s="70">
        <f t="shared" si="27"/>
        <v>411052.40485390706</v>
      </c>
      <c r="AG38" s="52">
        <f t="shared" si="16"/>
        <v>0</v>
      </c>
      <c r="AH38" s="52">
        <f t="shared" si="17"/>
        <v>0</v>
      </c>
      <c r="AI38" s="52">
        <f t="shared" si="18"/>
        <v>0</v>
      </c>
      <c r="AJ38" s="52">
        <f t="shared" si="19"/>
        <v>0</v>
      </c>
      <c r="AK38" s="30"/>
      <c r="AL38" s="30"/>
      <c r="AM38" s="30"/>
      <c r="AN38" s="30"/>
      <c r="AO38" s="30"/>
      <c r="AP38" s="30"/>
      <c r="AS38" s="39"/>
      <c r="AT38" s="47"/>
      <c r="AU38" s="47"/>
      <c r="AV38" s="52">
        <f t="shared" si="20"/>
        <v>0</v>
      </c>
      <c r="AW38" s="52">
        <f t="shared" si="21"/>
        <v>0</v>
      </c>
      <c r="AX38" s="39"/>
      <c r="AY38" s="39"/>
    </row>
    <row r="39" spans="1:51" x14ac:dyDescent="0.25">
      <c r="A39" s="30">
        <v>2004</v>
      </c>
      <c r="B39" s="33">
        <f>w_uf*UF*Parámetros!C26</f>
        <v>596048.79041992011</v>
      </c>
      <c r="C39" s="30">
        <f t="shared" si="8"/>
        <v>25</v>
      </c>
      <c r="D39" s="30">
        <f>((A39=Inputs!$C$12)*(Inputs!$D$12) + (A39=Inputs!$C$13)*(Inputs!$D$13) + (A39=Inputs!$C$14)*(Inputs!$D$14)) *(A39 &gt;= a_afil)*(A39&gt;=2024)</f>
        <v>0</v>
      </c>
      <c r="E39" s="30">
        <v>0</v>
      </c>
      <c r="F39" s="30">
        <f t="shared" si="9"/>
        <v>1</v>
      </c>
      <c r="G39" s="30">
        <f t="shared" si="10"/>
        <v>1</v>
      </c>
      <c r="H39" s="30">
        <v>0.41759920120239258</v>
      </c>
      <c r="I39" s="37">
        <f t="shared" si="11"/>
        <v>0.57999999999999996</v>
      </c>
      <c r="J39" s="37">
        <f t="shared" si="12"/>
        <v>0.57999999999999996</v>
      </c>
      <c r="K39" s="84"/>
      <c r="L39" s="71"/>
      <c r="M39" s="87"/>
      <c r="N39" s="47"/>
      <c r="O39" s="47"/>
      <c r="P39" s="47"/>
      <c r="Q39" s="54">
        <f t="shared" si="22"/>
        <v>414849.95813226444</v>
      </c>
      <c r="R39" s="54">
        <f t="shared" si="23"/>
        <v>414849.95813226444</v>
      </c>
      <c r="S39" s="54">
        <f t="shared" si="14"/>
        <v>414849.95813226444</v>
      </c>
      <c r="T39" s="54">
        <f t="shared" si="15"/>
        <v>414849.95813226444</v>
      </c>
      <c r="U39" s="47"/>
      <c r="V39" s="47"/>
      <c r="W39" s="47"/>
      <c r="X39" s="70">
        <f t="shared" si="24"/>
        <v>869268.3916982587</v>
      </c>
      <c r="Y39" s="70">
        <f t="shared" si="25"/>
        <v>869268.3916982587</v>
      </c>
      <c r="Z39" s="70">
        <f t="shared" si="26"/>
        <v>869268.3916982587</v>
      </c>
      <c r="AA39" s="70">
        <f t="shared" si="27"/>
        <v>869268.3916982587</v>
      </c>
      <c r="AG39" s="52">
        <f t="shared" si="16"/>
        <v>0</v>
      </c>
      <c r="AH39" s="52">
        <f t="shared" si="17"/>
        <v>0</v>
      </c>
      <c r="AI39" s="52">
        <f t="shared" si="18"/>
        <v>0</v>
      </c>
      <c r="AJ39" s="52">
        <f t="shared" si="19"/>
        <v>0</v>
      </c>
      <c r="AK39" s="30"/>
      <c r="AL39" s="30"/>
      <c r="AM39" s="30"/>
      <c r="AN39" s="30"/>
      <c r="AO39" s="30"/>
      <c r="AP39" s="30"/>
      <c r="AS39" s="39"/>
      <c r="AT39" s="47"/>
      <c r="AU39" s="47"/>
      <c r="AV39" s="52">
        <f t="shared" si="20"/>
        <v>0</v>
      </c>
      <c r="AW39" s="52">
        <f t="shared" si="21"/>
        <v>0</v>
      </c>
      <c r="AX39" s="39"/>
      <c r="AY39" s="39"/>
    </row>
    <row r="40" spans="1:51" x14ac:dyDescent="0.25">
      <c r="A40" s="30">
        <v>2005</v>
      </c>
      <c r="B40" s="33">
        <f>w_uf*UF*Parámetros!C27</f>
        <v>606898.58426910418</v>
      </c>
      <c r="C40" s="30">
        <f t="shared" si="8"/>
        <v>26</v>
      </c>
      <c r="D40" s="30">
        <f>((A40=Inputs!$C$12)*(Inputs!$D$12) + (A40=Inputs!$C$13)*(Inputs!$D$13) + (A40=Inputs!$C$14)*(Inputs!$D$14)) *(A40 &gt;= a_afil)*(A40&gt;=2024)</f>
        <v>0</v>
      </c>
      <c r="E40" s="30">
        <v>0</v>
      </c>
      <c r="F40" s="30">
        <f t="shared" si="9"/>
        <v>1</v>
      </c>
      <c r="G40" s="30">
        <f t="shared" si="10"/>
        <v>1</v>
      </c>
      <c r="H40" s="30">
        <v>0.73448818922042847</v>
      </c>
      <c r="I40" s="37">
        <f t="shared" si="11"/>
        <v>0.57999999999999996</v>
      </c>
      <c r="J40" s="37">
        <f t="shared" si="12"/>
        <v>0.57999999999999996</v>
      </c>
      <c r="K40" s="84"/>
      <c r="L40" s="71"/>
      <c r="M40" s="87"/>
      <c r="N40" s="47"/>
      <c r="O40" s="47"/>
      <c r="P40" s="47"/>
      <c r="Q40" s="54">
        <f t="shared" si="22"/>
        <v>422401.41465129651</v>
      </c>
      <c r="R40" s="54">
        <f t="shared" si="23"/>
        <v>422401.41465129651</v>
      </c>
      <c r="S40" s="54">
        <f t="shared" si="14"/>
        <v>422401.41465129651</v>
      </c>
      <c r="T40" s="54">
        <f t="shared" si="15"/>
        <v>422401.41465129651</v>
      </c>
      <c r="U40" s="47"/>
      <c r="V40" s="47"/>
      <c r="W40" s="47"/>
      <c r="X40" s="70">
        <f t="shared" si="24"/>
        <v>1368686.985854021</v>
      </c>
      <c r="Y40" s="70">
        <f t="shared" si="25"/>
        <v>1368686.985854021</v>
      </c>
      <c r="Z40" s="70">
        <f t="shared" si="26"/>
        <v>1368686.985854021</v>
      </c>
      <c r="AA40" s="70">
        <f t="shared" si="27"/>
        <v>1368686.985854021</v>
      </c>
      <c r="AG40" s="52">
        <f t="shared" si="16"/>
        <v>0</v>
      </c>
      <c r="AH40" s="52">
        <f t="shared" si="17"/>
        <v>0</v>
      </c>
      <c r="AI40" s="52">
        <f t="shared" si="18"/>
        <v>0</v>
      </c>
      <c r="AJ40" s="52">
        <f t="shared" si="19"/>
        <v>0</v>
      </c>
      <c r="AK40" s="30"/>
      <c r="AL40" s="30"/>
      <c r="AM40" s="30"/>
      <c r="AN40" s="30"/>
      <c r="AO40" s="30"/>
      <c r="AP40" s="30"/>
      <c r="AS40" s="39"/>
      <c r="AT40" s="47"/>
      <c r="AU40" s="47"/>
      <c r="AV40" s="52">
        <f t="shared" si="20"/>
        <v>0</v>
      </c>
      <c r="AW40" s="52">
        <f t="shared" si="21"/>
        <v>0</v>
      </c>
      <c r="AX40" s="39"/>
      <c r="AY40" s="39"/>
    </row>
    <row r="41" spans="1:51" x14ac:dyDescent="0.25">
      <c r="A41" s="30">
        <v>2006</v>
      </c>
      <c r="B41" s="33">
        <f>w_uf*UF*Parámetros!C28</f>
        <v>618187.38711796631</v>
      </c>
      <c r="C41" s="30">
        <f t="shared" si="8"/>
        <v>27</v>
      </c>
      <c r="D41" s="30">
        <f>((A41=Inputs!$C$12)*(Inputs!$D$12) + (A41=Inputs!$C$13)*(Inputs!$D$13) + (A41=Inputs!$C$14)*(Inputs!$D$14)) *(A41 &gt;= a_afil)*(A41&gt;=2024)</f>
        <v>0</v>
      </c>
      <c r="E41" s="30">
        <v>0</v>
      </c>
      <c r="F41" s="30">
        <f t="shared" si="9"/>
        <v>1</v>
      </c>
      <c r="G41" s="30">
        <f t="shared" si="10"/>
        <v>1</v>
      </c>
      <c r="H41" s="30">
        <v>0.2771683931350708</v>
      </c>
      <c r="I41" s="37">
        <f t="shared" si="11"/>
        <v>0.57999999999999996</v>
      </c>
      <c r="J41" s="37">
        <f t="shared" si="12"/>
        <v>0.57999999999999996</v>
      </c>
      <c r="K41" s="84"/>
      <c r="L41" s="71"/>
      <c r="M41" s="87"/>
      <c r="N41" s="47"/>
      <c r="O41" s="47"/>
      <c r="P41" s="47"/>
      <c r="Q41" s="54">
        <f t="shared" si="22"/>
        <v>430258.42143410456</v>
      </c>
      <c r="R41" s="54">
        <f t="shared" si="23"/>
        <v>430258.42143410456</v>
      </c>
      <c r="S41" s="54">
        <f t="shared" si="14"/>
        <v>430258.42143410456</v>
      </c>
      <c r="T41" s="54">
        <f t="shared" si="15"/>
        <v>430258.42143410456</v>
      </c>
      <c r="U41" s="47"/>
      <c r="V41" s="47"/>
      <c r="W41" s="47"/>
      <c r="X41" s="70">
        <f t="shared" si="24"/>
        <v>1861631.27124024</v>
      </c>
      <c r="Y41" s="70">
        <f t="shared" si="25"/>
        <v>1861631.27124024</v>
      </c>
      <c r="Z41" s="70">
        <f t="shared" si="26"/>
        <v>1861631.27124024</v>
      </c>
      <c r="AA41" s="70">
        <f t="shared" si="27"/>
        <v>1861631.27124024</v>
      </c>
      <c r="AG41" s="52">
        <f t="shared" si="16"/>
        <v>0</v>
      </c>
      <c r="AH41" s="52">
        <f t="shared" si="17"/>
        <v>0</v>
      </c>
      <c r="AI41" s="52">
        <f t="shared" si="18"/>
        <v>0</v>
      </c>
      <c r="AJ41" s="52">
        <f t="shared" si="19"/>
        <v>0</v>
      </c>
      <c r="AK41" s="30"/>
      <c r="AL41" s="30"/>
      <c r="AM41" s="30"/>
      <c r="AN41" s="30"/>
      <c r="AO41" s="30"/>
      <c r="AP41" s="30"/>
      <c r="AS41" s="39"/>
      <c r="AT41" s="47"/>
      <c r="AU41" s="47"/>
      <c r="AV41" s="52">
        <f t="shared" si="20"/>
        <v>0</v>
      </c>
      <c r="AW41" s="52">
        <f t="shared" si="21"/>
        <v>0</v>
      </c>
      <c r="AX41" s="39"/>
      <c r="AY41" s="39"/>
    </row>
    <row r="42" spans="1:51" x14ac:dyDescent="0.25">
      <c r="A42" s="30">
        <v>2007</v>
      </c>
      <c r="B42" s="33">
        <f>w_uf*UF*Parámetros!C29</f>
        <v>630291.49239480181</v>
      </c>
      <c r="C42" s="30">
        <f t="shared" si="8"/>
        <v>28</v>
      </c>
      <c r="D42" s="30">
        <f>((A42=Inputs!$C$12)*(Inputs!$D$12) + (A42=Inputs!$C$13)*(Inputs!$D$13) + (A42=Inputs!$C$14)*(Inputs!$D$14)) *(A42 &gt;= a_afil)*(A42&gt;=2024)</f>
        <v>0</v>
      </c>
      <c r="E42" s="30">
        <v>0</v>
      </c>
      <c r="F42" s="30">
        <f t="shared" si="9"/>
        <v>1</v>
      </c>
      <c r="G42" s="30">
        <f t="shared" si="10"/>
        <v>1</v>
      </c>
      <c r="H42" s="30">
        <v>0.3565862774848938</v>
      </c>
      <c r="I42" s="37">
        <f t="shared" si="11"/>
        <v>0.57999999999999996</v>
      </c>
      <c r="J42" s="37">
        <f t="shared" si="12"/>
        <v>0.57999999999999996</v>
      </c>
      <c r="K42" s="84"/>
      <c r="L42" s="71"/>
      <c r="M42" s="87"/>
      <c r="N42" s="47"/>
      <c r="O42" s="47"/>
      <c r="P42" s="47"/>
      <c r="Q42" s="54">
        <f t="shared" si="22"/>
        <v>438682.87870678207</v>
      </c>
      <c r="R42" s="54">
        <f t="shared" si="23"/>
        <v>438682.87870678207</v>
      </c>
      <c r="S42" s="54">
        <f t="shared" si="14"/>
        <v>438682.87870678207</v>
      </c>
      <c r="T42" s="54">
        <f t="shared" si="15"/>
        <v>438682.87870678207</v>
      </c>
      <c r="U42" s="47"/>
      <c r="V42" s="47"/>
      <c r="W42" s="47"/>
      <c r="X42" s="54">
        <f t="shared" si="24"/>
        <v>2593893.4014216079</v>
      </c>
      <c r="Y42" s="54">
        <f t="shared" si="25"/>
        <v>2593893.4014216079</v>
      </c>
      <c r="Z42" s="70">
        <f t="shared" si="26"/>
        <v>2593893.4014216079</v>
      </c>
      <c r="AA42" s="70">
        <f t="shared" si="27"/>
        <v>2593893.4014216079</v>
      </c>
      <c r="AG42" s="52">
        <f t="shared" si="16"/>
        <v>0</v>
      </c>
      <c r="AH42" s="52">
        <f t="shared" si="17"/>
        <v>0</v>
      </c>
      <c r="AI42" s="52">
        <f t="shared" si="18"/>
        <v>0</v>
      </c>
      <c r="AJ42" s="52">
        <f t="shared" si="19"/>
        <v>0</v>
      </c>
      <c r="AK42" s="30"/>
      <c r="AL42" s="30"/>
      <c r="AM42" s="30"/>
      <c r="AN42" s="30"/>
      <c r="AO42" s="30"/>
      <c r="AP42" s="30"/>
      <c r="AS42" s="39"/>
      <c r="AT42" s="47"/>
      <c r="AU42" s="47"/>
      <c r="AV42" s="52">
        <f t="shared" si="20"/>
        <v>0</v>
      </c>
      <c r="AW42" s="52">
        <f t="shared" si="21"/>
        <v>0</v>
      </c>
      <c r="AX42" s="39"/>
      <c r="AY42" s="39"/>
    </row>
    <row r="43" spans="1:51" x14ac:dyDescent="0.25">
      <c r="A43" s="30">
        <v>2008</v>
      </c>
      <c r="B43" s="33">
        <f>w_uf*UF*Parámetros!C30</f>
        <v>648039.99909606832</v>
      </c>
      <c r="C43" s="30">
        <f t="shared" si="8"/>
        <v>29</v>
      </c>
      <c r="D43" s="30">
        <f>((A43=Inputs!$C$12)*(Inputs!$D$12) + (A43=Inputs!$C$13)*(Inputs!$D$13) + (A43=Inputs!$C$14)*(Inputs!$D$14)) *(A43 &gt;= a_afil)*(A43&gt;=2024)</f>
        <v>0</v>
      </c>
      <c r="E43" s="30">
        <v>0</v>
      </c>
      <c r="F43" s="30">
        <f t="shared" si="9"/>
        <v>1</v>
      </c>
      <c r="G43" s="30">
        <f t="shared" si="10"/>
        <v>1</v>
      </c>
      <c r="H43" s="30">
        <v>0.4334571361541748</v>
      </c>
      <c r="I43" s="37">
        <f t="shared" si="11"/>
        <v>0.57999999999999996</v>
      </c>
      <c r="J43" s="37">
        <f t="shared" si="12"/>
        <v>0.57999999999999996</v>
      </c>
      <c r="K43" s="84"/>
      <c r="L43" s="71"/>
      <c r="M43" s="87"/>
      <c r="N43" s="47"/>
      <c r="O43" s="47"/>
      <c r="P43" s="47"/>
      <c r="Q43" s="54">
        <f t="shared" si="22"/>
        <v>451035.83937086351</v>
      </c>
      <c r="R43" s="54">
        <f t="shared" si="23"/>
        <v>451035.83937086351</v>
      </c>
      <c r="S43" s="54">
        <f t="shared" si="14"/>
        <v>451035.83937086351</v>
      </c>
      <c r="T43" s="54">
        <f t="shared" si="15"/>
        <v>451035.83937086351</v>
      </c>
      <c r="U43" s="47"/>
      <c r="V43" s="47"/>
      <c r="W43" s="47"/>
      <c r="X43" s="54">
        <f t="shared" si="24"/>
        <v>3174364.52152341</v>
      </c>
      <c r="Y43" s="54">
        <f t="shared" si="25"/>
        <v>3174364.52152341</v>
      </c>
      <c r="Z43" s="70">
        <f t="shared" si="26"/>
        <v>3174364.52152341</v>
      </c>
      <c r="AA43" s="70">
        <f t="shared" si="27"/>
        <v>3174364.52152341</v>
      </c>
      <c r="AG43" s="52">
        <f t="shared" si="16"/>
        <v>0</v>
      </c>
      <c r="AH43" s="52">
        <f t="shared" si="17"/>
        <v>0</v>
      </c>
      <c r="AI43" s="52">
        <f t="shared" si="18"/>
        <v>0</v>
      </c>
      <c r="AJ43" s="52">
        <f t="shared" si="19"/>
        <v>0</v>
      </c>
      <c r="AK43" s="30"/>
      <c r="AL43" s="30"/>
      <c r="AM43" s="30"/>
      <c r="AN43" s="30"/>
      <c r="AO43" s="30"/>
      <c r="AP43" s="30"/>
      <c r="AS43" s="39"/>
      <c r="AT43" s="47"/>
      <c r="AU43" s="47"/>
      <c r="AV43" s="52">
        <f t="shared" si="20"/>
        <v>0</v>
      </c>
      <c r="AW43" s="52">
        <f t="shared" si="21"/>
        <v>0</v>
      </c>
      <c r="AX43" s="39"/>
      <c r="AY43" s="39"/>
    </row>
    <row r="44" spans="1:51" x14ac:dyDescent="0.25">
      <c r="A44" s="30">
        <v>2009</v>
      </c>
      <c r="B44" s="33">
        <f>w_uf*UF*Parámetros!C31</f>
        <v>646722.97209703445</v>
      </c>
      <c r="C44" s="30">
        <f t="shared" si="8"/>
        <v>30</v>
      </c>
      <c r="D44" s="30">
        <f>((A44=Inputs!$C$12)*(Inputs!$D$12) + (A44=Inputs!$C$13)*(Inputs!$D$13) + (A44=Inputs!$C$14)*(Inputs!$D$14)) *(A44 &gt;= a_afil)*(A44&gt;=2024)</f>
        <v>0</v>
      </c>
      <c r="E44" s="30">
        <v>0</v>
      </c>
      <c r="F44" s="30">
        <f t="shared" si="9"/>
        <v>1</v>
      </c>
      <c r="G44" s="30">
        <f t="shared" si="10"/>
        <v>1</v>
      </c>
      <c r="H44" s="30">
        <v>0.94497102499008179</v>
      </c>
      <c r="I44" s="37">
        <f t="shared" si="11"/>
        <v>0.57999999999999996</v>
      </c>
      <c r="J44" s="37">
        <f t="shared" si="12"/>
        <v>0.57999999999999996</v>
      </c>
      <c r="K44" s="84"/>
      <c r="L44" s="71"/>
      <c r="M44" s="87"/>
      <c r="N44" s="47"/>
      <c r="O44" s="47"/>
      <c r="P44" s="47"/>
      <c r="Q44" s="54">
        <f t="shared" si="22"/>
        <v>450119.18857953598</v>
      </c>
      <c r="R44" s="54">
        <f t="shared" si="23"/>
        <v>450119.18857953598</v>
      </c>
      <c r="S44" s="54">
        <f t="shared" si="14"/>
        <v>450119.18857953598</v>
      </c>
      <c r="T44" s="54">
        <f t="shared" si="15"/>
        <v>450119.18857953598</v>
      </c>
      <c r="U44" s="47"/>
      <c r="V44" s="47"/>
      <c r="W44" s="47"/>
      <c r="X44" s="54">
        <f t="shared" si="24"/>
        <v>3023259.0697264122</v>
      </c>
      <c r="Y44" s="54">
        <f t="shared" si="25"/>
        <v>3023259.0697264122</v>
      </c>
      <c r="Z44" s="54">
        <f t="shared" si="26"/>
        <v>3023259.0697264122</v>
      </c>
      <c r="AA44" s="54">
        <f t="shared" si="27"/>
        <v>3023259.0697264122</v>
      </c>
      <c r="AG44" s="52">
        <f t="shared" si="16"/>
        <v>0</v>
      </c>
      <c r="AH44" s="52">
        <f t="shared" si="17"/>
        <v>0</v>
      </c>
      <c r="AI44" s="52">
        <f t="shared" si="18"/>
        <v>0</v>
      </c>
      <c r="AJ44" s="52">
        <f t="shared" si="19"/>
        <v>0</v>
      </c>
      <c r="AK44" s="30"/>
      <c r="AL44" s="30"/>
      <c r="AM44" s="30"/>
      <c r="AN44" s="30"/>
      <c r="AO44" s="30"/>
      <c r="AP44" s="30"/>
      <c r="AS44" s="39"/>
      <c r="AT44" s="47"/>
      <c r="AU44" s="47"/>
      <c r="AV44" s="52">
        <f t="shared" si="20"/>
        <v>0</v>
      </c>
      <c r="AW44" s="52">
        <f t="shared" si="21"/>
        <v>0</v>
      </c>
      <c r="AX44" s="39"/>
      <c r="AY44" s="39"/>
    </row>
    <row r="45" spans="1:51" x14ac:dyDescent="0.25">
      <c r="A45" s="30">
        <v>2010</v>
      </c>
      <c r="B45" s="33">
        <f>w_uf*UF*Parámetros!C32</f>
        <v>677677.83256711613</v>
      </c>
      <c r="C45" s="30">
        <f t="shared" si="8"/>
        <v>31</v>
      </c>
      <c r="D45" s="30">
        <f>((A45=Inputs!$C$12)*(Inputs!$D$12) + (A45=Inputs!$C$13)*(Inputs!$D$13) + (A45=Inputs!$C$14)*(Inputs!$D$14)) *(A45 &gt;= a_afil)*(A45&gt;=2024)</f>
        <v>0</v>
      </c>
      <c r="E45" s="30">
        <v>0</v>
      </c>
      <c r="F45" s="30">
        <f t="shared" si="9"/>
        <v>1</v>
      </c>
      <c r="G45" s="30">
        <f t="shared" si="10"/>
        <v>1</v>
      </c>
      <c r="H45" s="30">
        <v>0.12154996395111084</v>
      </c>
      <c r="I45" s="37">
        <f t="shared" si="11"/>
        <v>0.57999999999999996</v>
      </c>
      <c r="J45" s="37">
        <f t="shared" si="12"/>
        <v>0.57999999999999996</v>
      </c>
      <c r="K45" s="84"/>
      <c r="L45" s="71"/>
      <c r="M45" s="87"/>
      <c r="N45" s="47"/>
      <c r="O45" s="47"/>
      <c r="P45" s="47"/>
      <c r="Q45" s="54">
        <f t="shared" si="22"/>
        <v>471663.77146671276</v>
      </c>
      <c r="R45" s="54">
        <f t="shared" si="23"/>
        <v>471663.77146671276</v>
      </c>
      <c r="S45" s="54">
        <f t="shared" si="14"/>
        <v>471663.77146671276</v>
      </c>
      <c r="T45" s="54">
        <f t="shared" si="15"/>
        <v>471663.77146671276</v>
      </c>
      <c r="U45" s="47"/>
      <c r="V45" s="47"/>
      <c r="W45" s="47"/>
      <c r="X45" s="54">
        <f t="shared" si="24"/>
        <v>4176063.1096024858</v>
      </c>
      <c r="Y45" s="54">
        <f t="shared" si="25"/>
        <v>4176063.1096024858</v>
      </c>
      <c r="Z45" s="54">
        <f t="shared" si="26"/>
        <v>4176063.1096024858</v>
      </c>
      <c r="AA45" s="54">
        <f t="shared" si="27"/>
        <v>4176063.1096024858</v>
      </c>
      <c r="AG45" s="52">
        <f t="shared" si="16"/>
        <v>0</v>
      </c>
      <c r="AH45" s="52">
        <f t="shared" si="17"/>
        <v>0</v>
      </c>
      <c r="AI45" s="52">
        <f t="shared" si="18"/>
        <v>0</v>
      </c>
      <c r="AJ45" s="52">
        <f t="shared" si="19"/>
        <v>0</v>
      </c>
      <c r="AK45" s="30"/>
      <c r="AL45" s="30"/>
      <c r="AM45" s="30"/>
      <c r="AN45" s="30"/>
      <c r="AO45" s="30"/>
      <c r="AP45" s="30"/>
      <c r="AS45" s="39"/>
      <c r="AT45" s="47"/>
      <c r="AU45" s="47"/>
      <c r="AV45" s="52">
        <f t="shared" si="20"/>
        <v>0</v>
      </c>
      <c r="AW45" s="52">
        <f t="shared" si="21"/>
        <v>0</v>
      </c>
      <c r="AX45" s="39"/>
      <c r="AY45" s="39"/>
    </row>
    <row r="46" spans="1:51" x14ac:dyDescent="0.25">
      <c r="A46" s="30">
        <v>2011</v>
      </c>
      <c r="B46" s="33">
        <f>w_uf*UF*Parámetros!C33</f>
        <v>695953.37307313946</v>
      </c>
      <c r="C46" s="30">
        <f t="shared" si="8"/>
        <v>32</v>
      </c>
      <c r="D46" s="30">
        <f>((A46=Inputs!$C$12)*(Inputs!$D$12) + (A46=Inputs!$C$13)*(Inputs!$D$13) + (A46=Inputs!$C$14)*(Inputs!$D$14)) *(A46 &gt;= a_afil)*(A46&gt;=2024)</f>
        <v>0</v>
      </c>
      <c r="E46" s="30">
        <v>0</v>
      </c>
      <c r="F46" s="30">
        <f t="shared" si="9"/>
        <v>1</v>
      </c>
      <c r="G46" s="30">
        <f t="shared" si="10"/>
        <v>1</v>
      </c>
      <c r="H46" s="30">
        <v>0.64595133066177368</v>
      </c>
      <c r="I46" s="37">
        <f t="shared" si="11"/>
        <v>0.57999999999999996</v>
      </c>
      <c r="J46" s="37">
        <f t="shared" si="12"/>
        <v>0.57999999999999996</v>
      </c>
      <c r="K46" s="84"/>
      <c r="L46" s="71"/>
      <c r="M46" s="87"/>
      <c r="N46" s="47"/>
      <c r="O46" s="47"/>
      <c r="P46" s="47"/>
      <c r="Q46" s="54">
        <f t="shared" si="22"/>
        <v>484383.54765890504</v>
      </c>
      <c r="R46" s="54">
        <f t="shared" si="23"/>
        <v>484383.54765890504</v>
      </c>
      <c r="S46" s="54">
        <f t="shared" si="14"/>
        <v>484383.54765890504</v>
      </c>
      <c r="T46" s="54">
        <f t="shared" si="15"/>
        <v>484383.54765890504</v>
      </c>
      <c r="U46" s="47"/>
      <c r="V46" s="47"/>
      <c r="W46" s="47"/>
      <c r="X46" s="54">
        <f t="shared" si="24"/>
        <v>5050490.9516982632</v>
      </c>
      <c r="Y46" s="54">
        <f t="shared" si="25"/>
        <v>5050490.9516982632</v>
      </c>
      <c r="Z46" s="54">
        <f t="shared" si="26"/>
        <v>5050490.9516982632</v>
      </c>
      <c r="AA46" s="54">
        <f t="shared" si="27"/>
        <v>5050490.9516982632</v>
      </c>
      <c r="AG46" s="52">
        <f t="shared" si="16"/>
        <v>0</v>
      </c>
      <c r="AH46" s="52">
        <f t="shared" si="17"/>
        <v>0</v>
      </c>
      <c r="AI46" s="52">
        <f t="shared" si="18"/>
        <v>0</v>
      </c>
      <c r="AJ46" s="52">
        <f t="shared" si="19"/>
        <v>0</v>
      </c>
      <c r="AK46" s="30"/>
      <c r="AL46" s="30"/>
      <c r="AM46" s="30"/>
      <c r="AN46" s="30"/>
      <c r="AO46" s="30"/>
      <c r="AP46" s="30"/>
      <c r="AS46" s="39"/>
      <c r="AT46" s="47"/>
      <c r="AU46" s="47"/>
      <c r="AV46" s="52">
        <f t="shared" si="20"/>
        <v>0</v>
      </c>
      <c r="AW46" s="52">
        <f t="shared" si="21"/>
        <v>0</v>
      </c>
      <c r="AX46" s="39"/>
      <c r="AY46" s="39"/>
    </row>
    <row r="47" spans="1:51" x14ac:dyDescent="0.25">
      <c r="A47" s="30">
        <v>2012</v>
      </c>
      <c r="B47" s="33">
        <f>w_uf*UF*Parámetros!C34</f>
        <v>713348.65352546691</v>
      </c>
      <c r="C47" s="30">
        <f t="shared" si="8"/>
        <v>33</v>
      </c>
      <c r="D47" s="30">
        <f>((A47=Inputs!$C$12)*(Inputs!$D$12) + (A47=Inputs!$C$13)*(Inputs!$D$13) + (A47=Inputs!$C$14)*(Inputs!$D$14)) *(A47 &gt;= a_afil)*(A47&gt;=2024)</f>
        <v>0</v>
      </c>
      <c r="E47" s="30">
        <v>0</v>
      </c>
      <c r="F47" s="30">
        <f t="shared" si="9"/>
        <v>1</v>
      </c>
      <c r="G47" s="30">
        <f t="shared" si="10"/>
        <v>1</v>
      </c>
      <c r="H47" s="30">
        <v>0.34783267974853516</v>
      </c>
      <c r="I47" s="37">
        <f t="shared" si="11"/>
        <v>0.57999999999999996</v>
      </c>
      <c r="J47" s="37">
        <f t="shared" si="12"/>
        <v>0.57999999999999996</v>
      </c>
      <c r="K47" s="84"/>
      <c r="L47" s="71"/>
      <c r="M47" s="87"/>
      <c r="N47" s="47"/>
      <c r="O47" s="47"/>
      <c r="P47" s="47"/>
      <c r="Q47" s="54">
        <f t="shared" si="22"/>
        <v>496490.66285372491</v>
      </c>
      <c r="R47" s="54">
        <f t="shared" si="23"/>
        <v>496490.66285372491</v>
      </c>
      <c r="S47" s="54">
        <f t="shared" si="14"/>
        <v>496490.66285372491</v>
      </c>
      <c r="T47" s="54">
        <f t="shared" si="15"/>
        <v>496490.66285372491</v>
      </c>
      <c r="U47" s="47"/>
      <c r="V47" s="47"/>
      <c r="W47" s="47"/>
      <c r="X47" s="54">
        <f t="shared" si="24"/>
        <v>5355568.0074826237</v>
      </c>
      <c r="Y47" s="54">
        <f t="shared" si="25"/>
        <v>5355568.0074826237</v>
      </c>
      <c r="Z47" s="54">
        <f t="shared" si="26"/>
        <v>5355568.0074826237</v>
      </c>
      <c r="AA47" s="54">
        <f t="shared" si="27"/>
        <v>5355568.0074826237</v>
      </c>
      <c r="AG47" s="52">
        <f t="shared" si="16"/>
        <v>0</v>
      </c>
      <c r="AH47" s="52">
        <f t="shared" si="17"/>
        <v>0</v>
      </c>
      <c r="AI47" s="52">
        <f t="shared" si="18"/>
        <v>0</v>
      </c>
      <c r="AJ47" s="52">
        <f t="shared" si="19"/>
        <v>0</v>
      </c>
      <c r="AK47" s="30"/>
      <c r="AL47" s="30"/>
      <c r="AM47" s="30"/>
      <c r="AN47" s="30"/>
      <c r="AO47" s="30"/>
      <c r="AP47" s="30"/>
      <c r="AS47" s="39"/>
      <c r="AT47" s="47"/>
      <c r="AU47" s="47"/>
      <c r="AV47" s="52">
        <f t="shared" si="20"/>
        <v>0</v>
      </c>
      <c r="AW47" s="52">
        <f t="shared" si="21"/>
        <v>0</v>
      </c>
      <c r="AX47" s="39"/>
      <c r="AY47" s="39"/>
    </row>
    <row r="48" spans="1:51" x14ac:dyDescent="0.25">
      <c r="A48" s="30">
        <v>2013</v>
      </c>
      <c r="B48" s="33">
        <f>w_uf*UF*Parámetros!C35</f>
        <v>736534.87895418215</v>
      </c>
      <c r="C48" s="30">
        <f t="shared" si="8"/>
        <v>34</v>
      </c>
      <c r="D48" s="30">
        <f>((A48=Inputs!$C$12)*(Inputs!$D$12) + (A48=Inputs!$C$13)*(Inputs!$D$13) + (A48=Inputs!$C$14)*(Inputs!$D$14)) *(A48 &gt;= a_afil)*(A48&gt;=2024)</f>
        <v>0</v>
      </c>
      <c r="E48" s="30">
        <v>0</v>
      </c>
      <c r="F48" s="30">
        <f t="shared" ref="F48:F79" si="28" xml:space="preserve"> (C48&lt;edad_ret_h) * (A48&gt;=a_afil)</f>
        <v>1</v>
      </c>
      <c r="G48" s="30">
        <f t="shared" ref="G48:G79" si="29" xml:space="preserve"> (C48&lt;edad_ret_m) * (A48&gt;=a_afil)</f>
        <v>1</v>
      </c>
      <c r="H48" s="30">
        <v>0.10443228483200073</v>
      </c>
      <c r="I48" s="37">
        <f t="shared" si="11"/>
        <v>0.57999999999999996</v>
      </c>
      <c r="J48" s="37">
        <f t="shared" si="12"/>
        <v>0.57999999999999996</v>
      </c>
      <c r="K48" s="84"/>
      <c r="L48" s="71"/>
      <c r="M48" s="87"/>
      <c r="N48" s="47"/>
      <c r="O48" s="47"/>
      <c r="P48" s="47"/>
      <c r="Q48" s="54">
        <f t="shared" si="22"/>
        <v>512628.2757521107</v>
      </c>
      <c r="R48" s="54">
        <f t="shared" si="23"/>
        <v>512628.2757521107</v>
      </c>
      <c r="S48" s="54">
        <f t="shared" si="14"/>
        <v>512628.2757521107</v>
      </c>
      <c r="T48" s="54">
        <f t="shared" si="15"/>
        <v>512628.2757521107</v>
      </c>
      <c r="U48" s="47"/>
      <c r="V48" s="47"/>
      <c r="W48" s="47"/>
      <c r="X48" s="54">
        <f t="shared" si="24"/>
        <v>6115087.9683796829</v>
      </c>
      <c r="Y48" s="54">
        <f t="shared" si="25"/>
        <v>6115087.9683796829</v>
      </c>
      <c r="Z48" s="54">
        <f t="shared" si="26"/>
        <v>6115087.9683796829</v>
      </c>
      <c r="AA48" s="54">
        <f t="shared" si="27"/>
        <v>6115087.9683796829</v>
      </c>
      <c r="AG48" s="52">
        <f t="shared" ref="AG48:AG79" si="30">($A48=D$9)*X48/(12*_xlfn.XLOOKUP(AG$15,sexo_cnu,cnu))</f>
        <v>0</v>
      </c>
      <c r="AH48" s="52">
        <f t="shared" ref="AH48:AH79" si="31">($A48=E$9)*Y48/(12*_xlfn.XLOOKUP(AH$15,sexo_cnu,cnu))</f>
        <v>0</v>
      </c>
      <c r="AI48" s="52">
        <f t="shared" si="18"/>
        <v>0</v>
      </c>
      <c r="AJ48" s="52">
        <f t="shared" si="19"/>
        <v>0</v>
      </c>
      <c r="AK48" s="30"/>
      <c r="AL48" s="30"/>
      <c r="AM48" s="30"/>
      <c r="AN48" s="30"/>
      <c r="AO48" s="30"/>
      <c r="AP48" s="30"/>
      <c r="AS48" s="39"/>
      <c r="AT48" s="47"/>
      <c r="AU48" s="47"/>
      <c r="AV48" s="52">
        <f t="shared" si="20"/>
        <v>0</v>
      </c>
      <c r="AW48" s="52">
        <f t="shared" ref="AW48:AW79" si="32">IF($A48=a_nac+edad_ret_m,AA48/(12*_xlfn.XLOOKUP(AW$15,sexo_cnu,cnu)),0)</f>
        <v>0</v>
      </c>
      <c r="AX48" s="39"/>
      <c r="AY48" s="39"/>
    </row>
    <row r="49" spans="1:52" x14ac:dyDescent="0.25">
      <c r="A49" s="30">
        <v>2014</v>
      </c>
      <c r="B49" s="33">
        <f>w_uf*UF*Parámetros!C36</f>
        <v>764995.80232650624</v>
      </c>
      <c r="C49" s="30">
        <f t="shared" si="8"/>
        <v>35</v>
      </c>
      <c r="D49" s="30">
        <f>((A49=Inputs!$C$12)*(Inputs!$D$12) + (A49=Inputs!$C$13)*(Inputs!$D$13) + (A49=Inputs!$C$14)*(Inputs!$D$14)) *(A49 &gt;= a_afil)*(A49&gt;=2024)</f>
        <v>0</v>
      </c>
      <c r="E49" s="30">
        <v>0</v>
      </c>
      <c r="F49" s="30">
        <f t="shared" si="28"/>
        <v>1</v>
      </c>
      <c r="G49" s="30">
        <f t="shared" si="29"/>
        <v>1</v>
      </c>
      <c r="H49" s="30">
        <v>0.185402512550354</v>
      </c>
      <c r="I49" s="37">
        <f t="shared" si="11"/>
        <v>0.57999999999999996</v>
      </c>
      <c r="J49" s="37">
        <f t="shared" si="12"/>
        <v>0.57999999999999996</v>
      </c>
      <c r="K49" s="84"/>
      <c r="L49" s="71"/>
      <c r="M49" s="87"/>
      <c r="N49" s="47"/>
      <c r="O49" s="47"/>
      <c r="P49" s="47"/>
      <c r="Q49" s="54">
        <f t="shared" si="22"/>
        <v>532437.07841924846</v>
      </c>
      <c r="R49" s="54">
        <f t="shared" si="23"/>
        <v>532437.07841924846</v>
      </c>
      <c r="S49" s="54">
        <f t="shared" si="14"/>
        <v>532437.07841924846</v>
      </c>
      <c r="T49" s="54">
        <f t="shared" si="15"/>
        <v>532437.07841924846</v>
      </c>
      <c r="U49" s="47"/>
      <c r="V49" s="47"/>
      <c r="W49" s="47"/>
      <c r="X49" s="54">
        <f t="shared" ref="X49:X80" si="33">F48*X48*(1+_xlfn.XLOOKUP(MIN(2024,$A48),agnos_rent,rent_base))+Q49</f>
        <v>6933711.1637190999</v>
      </c>
      <c r="Y49" s="54">
        <f t="shared" ref="Y49:Y80" si="34">G48*Y48*(1+_xlfn.XLOOKUP(MIN(2024,$A48),agnos_rent,rent_base))+R49</f>
        <v>6933711.1637190999</v>
      </c>
      <c r="Z49" s="54">
        <f t="shared" si="26"/>
        <v>6933711.1637190999</v>
      </c>
      <c r="AA49" s="54">
        <f t="shared" si="27"/>
        <v>6933711.1637190999</v>
      </c>
      <c r="AG49" s="52">
        <f t="shared" si="30"/>
        <v>0</v>
      </c>
      <c r="AH49" s="52">
        <f t="shared" si="31"/>
        <v>0</v>
      </c>
      <c r="AI49" s="52">
        <f t="shared" si="18"/>
        <v>0</v>
      </c>
      <c r="AJ49" s="52">
        <f t="shared" si="19"/>
        <v>0</v>
      </c>
      <c r="AK49" s="30"/>
      <c r="AL49" s="30"/>
      <c r="AM49" s="30"/>
      <c r="AN49" s="30"/>
      <c r="AO49" s="30"/>
      <c r="AP49" s="30"/>
      <c r="AS49" s="39"/>
      <c r="AT49" s="47"/>
      <c r="AU49" s="47"/>
      <c r="AV49" s="52">
        <f t="shared" si="20"/>
        <v>0</v>
      </c>
      <c r="AW49" s="52">
        <f t="shared" si="32"/>
        <v>0</v>
      </c>
      <c r="AX49" s="39"/>
      <c r="AY49" s="39"/>
    </row>
    <row r="50" spans="1:52" x14ac:dyDescent="0.25">
      <c r="A50" s="30">
        <v>2015</v>
      </c>
      <c r="B50" s="33">
        <f>w_uf*UF*Parámetros!C37</f>
        <v>778500.52543035639</v>
      </c>
      <c r="C50" s="30">
        <f t="shared" si="8"/>
        <v>36</v>
      </c>
      <c r="D50" s="30">
        <f>((A50=Inputs!$C$12)*(Inputs!$D$12) + (A50=Inputs!$C$13)*(Inputs!$D$13) + (A50=Inputs!$C$14)*(Inputs!$D$14)) *(A50 &gt;= a_afil)*(A50&gt;=2024)</f>
        <v>0</v>
      </c>
      <c r="E50" s="30">
        <v>0</v>
      </c>
      <c r="F50" s="30">
        <f t="shared" si="28"/>
        <v>1</v>
      </c>
      <c r="G50" s="30">
        <f t="shared" si="29"/>
        <v>1</v>
      </c>
      <c r="H50" s="30">
        <v>7.7684700489044189E-2</v>
      </c>
      <c r="I50" s="37">
        <f t="shared" si="11"/>
        <v>0.57999999999999996</v>
      </c>
      <c r="J50" s="37">
        <f t="shared" si="12"/>
        <v>0.57999999999999996</v>
      </c>
      <c r="K50" s="84"/>
      <c r="L50" s="71"/>
      <c r="M50" s="87"/>
      <c r="N50" s="47"/>
      <c r="O50" s="47"/>
      <c r="P50" s="47"/>
      <c r="Q50" s="54">
        <f t="shared" si="22"/>
        <v>541836.36569952813</v>
      </c>
      <c r="R50" s="54">
        <f t="shared" si="23"/>
        <v>541836.36569952813</v>
      </c>
      <c r="S50" s="54">
        <f t="shared" si="14"/>
        <v>541836.36569952813</v>
      </c>
      <c r="T50" s="54">
        <f t="shared" si="15"/>
        <v>541836.36569952813</v>
      </c>
      <c r="U50" s="47"/>
      <c r="V50" s="47"/>
      <c r="W50" s="47"/>
      <c r="X50" s="54">
        <f t="shared" si="33"/>
        <v>8099581.5341533469</v>
      </c>
      <c r="Y50" s="54">
        <f t="shared" si="34"/>
        <v>8099581.5341533469</v>
      </c>
      <c r="Z50" s="54">
        <f t="shared" si="26"/>
        <v>8099581.5341533469</v>
      </c>
      <c r="AA50" s="54">
        <f t="shared" si="27"/>
        <v>8099581.5341533469</v>
      </c>
      <c r="AG50" s="52">
        <f t="shared" si="30"/>
        <v>0</v>
      </c>
      <c r="AH50" s="52">
        <f t="shared" si="31"/>
        <v>0</v>
      </c>
      <c r="AI50" s="52">
        <f t="shared" si="18"/>
        <v>0</v>
      </c>
      <c r="AJ50" s="52">
        <f t="shared" si="19"/>
        <v>0</v>
      </c>
      <c r="AK50" s="30"/>
      <c r="AL50" s="30"/>
      <c r="AM50" s="30"/>
      <c r="AN50" s="30"/>
      <c r="AO50" s="30"/>
      <c r="AP50" s="30"/>
      <c r="AS50" s="39"/>
      <c r="AT50" s="47"/>
      <c r="AU50" s="47"/>
      <c r="AV50" s="52">
        <f t="shared" si="20"/>
        <v>0</v>
      </c>
      <c r="AW50" s="52">
        <f t="shared" si="32"/>
        <v>0</v>
      </c>
      <c r="AX50" s="39"/>
      <c r="AY50" s="39"/>
    </row>
    <row r="51" spans="1:52" x14ac:dyDescent="0.25">
      <c r="A51" s="30">
        <v>2016</v>
      </c>
      <c r="B51" s="33">
        <f>w_uf*UF*Parámetros!C38</f>
        <v>792334.44954061578</v>
      </c>
      <c r="C51" s="30">
        <f t="shared" si="8"/>
        <v>37</v>
      </c>
      <c r="D51" s="30">
        <f>((A51=Inputs!$C$12)*(Inputs!$D$12) + (A51=Inputs!$C$13)*(Inputs!$D$13) + (A51=Inputs!$C$14)*(Inputs!$D$14)) *(A51 &gt;= a_afil)*(A51&gt;=2024)</f>
        <v>0</v>
      </c>
      <c r="E51" s="30">
        <v>0</v>
      </c>
      <c r="F51" s="30">
        <f t="shared" si="28"/>
        <v>1</v>
      </c>
      <c r="G51" s="30">
        <f t="shared" si="29"/>
        <v>1</v>
      </c>
      <c r="H51" s="30">
        <v>0.43275952339172363</v>
      </c>
      <c r="I51" s="37">
        <f t="shared" si="11"/>
        <v>0.57999999999999996</v>
      </c>
      <c r="J51" s="37">
        <f t="shared" si="12"/>
        <v>0.57999999999999996</v>
      </c>
      <c r="K51" s="84"/>
      <c r="L51" s="71"/>
      <c r="M51" s="87"/>
      <c r="N51" s="47"/>
      <c r="O51" s="47"/>
      <c r="P51" s="47"/>
      <c r="Q51" s="54">
        <f t="shared" si="22"/>
        <v>551464.77688026847</v>
      </c>
      <c r="R51" s="54">
        <f t="shared" si="23"/>
        <v>551464.77688026847</v>
      </c>
      <c r="S51" s="54">
        <f t="shared" si="14"/>
        <v>551464.77688026847</v>
      </c>
      <c r="T51" s="54">
        <f t="shared" si="15"/>
        <v>551464.77688026847</v>
      </c>
      <c r="U51" s="47"/>
      <c r="V51" s="47"/>
      <c r="W51" s="47"/>
      <c r="X51" s="54">
        <f t="shared" si="33"/>
        <v>8825997.2721713278</v>
      </c>
      <c r="Y51" s="54">
        <f t="shared" si="34"/>
        <v>8825997.2721713278</v>
      </c>
      <c r="Z51" s="54">
        <f t="shared" si="26"/>
        <v>8825997.2721713278</v>
      </c>
      <c r="AA51" s="54">
        <f t="shared" si="27"/>
        <v>8825997.2721713278</v>
      </c>
      <c r="AG51" s="52">
        <f t="shared" si="30"/>
        <v>0</v>
      </c>
      <c r="AH51" s="52">
        <f t="shared" si="31"/>
        <v>0</v>
      </c>
      <c r="AI51" s="52">
        <f t="shared" si="18"/>
        <v>0</v>
      </c>
      <c r="AJ51" s="52">
        <f t="shared" si="19"/>
        <v>0</v>
      </c>
      <c r="AK51" s="30"/>
      <c r="AL51" s="30"/>
      <c r="AM51" s="30"/>
      <c r="AN51" s="30"/>
      <c r="AO51" s="30"/>
      <c r="AP51" s="30"/>
      <c r="AS51" s="39"/>
      <c r="AT51" s="47"/>
      <c r="AU51" s="47"/>
      <c r="AV51" s="52">
        <f t="shared" si="20"/>
        <v>0</v>
      </c>
      <c r="AW51" s="52">
        <f t="shared" si="32"/>
        <v>0</v>
      </c>
      <c r="AX51" s="39"/>
      <c r="AY51" s="39"/>
    </row>
    <row r="52" spans="1:52" x14ac:dyDescent="0.25">
      <c r="A52" s="30">
        <v>2017</v>
      </c>
      <c r="B52" s="33">
        <f>w_uf*UF*Parámetros!C39</f>
        <v>803385.12877850304</v>
      </c>
      <c r="C52" s="30">
        <f t="shared" si="8"/>
        <v>38</v>
      </c>
      <c r="D52" s="30">
        <f>((A52=Inputs!$C$12)*(Inputs!$D$12) + (A52=Inputs!$C$13)*(Inputs!$D$13) + (A52=Inputs!$C$14)*(Inputs!$D$14)) *(A52 &gt;= a_afil)*(A52&gt;=2024)</f>
        <v>0</v>
      </c>
      <c r="E52" s="30">
        <v>0</v>
      </c>
      <c r="F52" s="30">
        <f t="shared" si="28"/>
        <v>1</v>
      </c>
      <c r="G52" s="30">
        <f t="shared" si="29"/>
        <v>1</v>
      </c>
      <c r="H52" s="30">
        <v>0.9592708945274353</v>
      </c>
      <c r="I52" s="37">
        <f t="shared" si="11"/>
        <v>0.57999999999999996</v>
      </c>
      <c r="J52" s="37">
        <f t="shared" si="12"/>
        <v>0.57999999999999996</v>
      </c>
      <c r="K52" s="84"/>
      <c r="L52" s="71"/>
      <c r="M52" s="87"/>
      <c r="N52" s="47"/>
      <c r="O52" s="47"/>
      <c r="P52" s="47"/>
      <c r="Q52" s="54">
        <f t="shared" si="22"/>
        <v>559156.04962983809</v>
      </c>
      <c r="R52" s="54">
        <f t="shared" si="23"/>
        <v>559156.04962983809</v>
      </c>
      <c r="S52" s="54">
        <f t="shared" si="14"/>
        <v>559156.04962983809</v>
      </c>
      <c r="T52" s="54">
        <f t="shared" si="15"/>
        <v>559156.04962983809</v>
      </c>
      <c r="U52" s="47"/>
      <c r="V52" s="176"/>
      <c r="W52" s="176"/>
      <c r="X52" s="54">
        <f t="shared" si="33"/>
        <v>9538725.6743369475</v>
      </c>
      <c r="Y52" s="54">
        <f t="shared" si="34"/>
        <v>9538725.6743369475</v>
      </c>
      <c r="Z52" s="54">
        <f t="shared" si="26"/>
        <v>9538725.6743369475</v>
      </c>
      <c r="AA52" s="54">
        <f t="shared" si="27"/>
        <v>9538725.6743369475</v>
      </c>
      <c r="AG52" s="52">
        <f t="shared" si="30"/>
        <v>0</v>
      </c>
      <c r="AH52" s="52">
        <f t="shared" si="31"/>
        <v>0</v>
      </c>
      <c r="AI52" s="52">
        <f t="shared" si="18"/>
        <v>0</v>
      </c>
      <c r="AJ52" s="52">
        <f t="shared" si="19"/>
        <v>0</v>
      </c>
      <c r="AK52" s="30"/>
      <c r="AL52" s="30"/>
      <c r="AM52" s="30"/>
      <c r="AN52" s="30"/>
      <c r="AO52" s="30"/>
      <c r="AP52" s="30"/>
      <c r="AS52" s="39"/>
      <c r="AT52" s="176"/>
      <c r="AU52" s="176"/>
      <c r="AV52" s="52">
        <f t="shared" si="20"/>
        <v>0</v>
      </c>
      <c r="AW52" s="52">
        <f t="shared" si="32"/>
        <v>0</v>
      </c>
      <c r="AX52" s="39"/>
      <c r="AY52" s="39"/>
    </row>
    <row r="53" spans="1:52" x14ac:dyDescent="0.25">
      <c r="A53" s="30">
        <v>2018</v>
      </c>
      <c r="B53" s="33">
        <f>w_uf*UF*Parámetros!C40</f>
        <v>822725.68790506921</v>
      </c>
      <c r="C53" s="30">
        <f t="shared" si="8"/>
        <v>39</v>
      </c>
      <c r="D53" s="30">
        <f>((A53=Inputs!$C$12)*(Inputs!$D$12) + (A53=Inputs!$C$13)*(Inputs!$D$13) + (A53=Inputs!$C$14)*(Inputs!$D$14)) *(A53 &gt;= a_afil)*(A53&gt;=2024)</f>
        <v>0</v>
      </c>
      <c r="E53" s="30">
        <v>0</v>
      </c>
      <c r="F53" s="30">
        <f t="shared" si="28"/>
        <v>1</v>
      </c>
      <c r="G53" s="30">
        <f t="shared" si="29"/>
        <v>1</v>
      </c>
      <c r="H53" s="30">
        <v>0.54202926158905029</v>
      </c>
      <c r="I53" s="37">
        <f t="shared" si="11"/>
        <v>0.57999999999999996</v>
      </c>
      <c r="J53" s="37">
        <f t="shared" si="12"/>
        <v>0.57999999999999996</v>
      </c>
      <c r="K53" s="84"/>
      <c r="L53" s="71"/>
      <c r="M53" s="87"/>
      <c r="N53" s="47"/>
      <c r="O53" s="47"/>
      <c r="P53" s="47"/>
      <c r="Q53" s="54">
        <f t="shared" si="22"/>
        <v>572617.07878192805</v>
      </c>
      <c r="R53" s="54">
        <f t="shared" si="23"/>
        <v>572617.07878192805</v>
      </c>
      <c r="S53" s="54">
        <f t="shared" si="14"/>
        <v>572617.07878192805</v>
      </c>
      <c r="T53" s="54">
        <f t="shared" si="15"/>
        <v>572617.07878192805</v>
      </c>
      <c r="U53" s="47"/>
      <c r="V53" s="47"/>
      <c r="W53" s="47"/>
      <c r="X53" s="54">
        <f t="shared" si="33"/>
        <v>10827701.051261581</v>
      </c>
      <c r="Y53" s="54">
        <f t="shared" si="34"/>
        <v>10827701.051261581</v>
      </c>
      <c r="Z53" s="54">
        <f t="shared" si="26"/>
        <v>10827701.051261581</v>
      </c>
      <c r="AA53" s="54">
        <f t="shared" si="27"/>
        <v>10827701.051261581</v>
      </c>
      <c r="AG53" s="52">
        <f t="shared" si="30"/>
        <v>0</v>
      </c>
      <c r="AH53" s="52">
        <f t="shared" si="31"/>
        <v>0</v>
      </c>
      <c r="AI53" s="52">
        <f t="shared" si="18"/>
        <v>0</v>
      </c>
      <c r="AJ53" s="52">
        <f t="shared" si="19"/>
        <v>0</v>
      </c>
      <c r="AK53" s="30"/>
      <c r="AL53" s="30"/>
      <c r="AM53" s="30"/>
      <c r="AN53" s="30"/>
      <c r="AO53" s="30"/>
      <c r="AP53" s="30"/>
      <c r="AS53" s="39"/>
      <c r="AT53" s="47"/>
      <c r="AU53" s="47"/>
      <c r="AV53" s="52">
        <f t="shared" si="20"/>
        <v>0</v>
      </c>
      <c r="AW53" s="52">
        <f t="shared" si="32"/>
        <v>0</v>
      </c>
      <c r="AX53" s="39"/>
      <c r="AY53" s="39"/>
    </row>
    <row r="54" spans="1:52" x14ac:dyDescent="0.25">
      <c r="A54" s="30">
        <v>2019</v>
      </c>
      <c r="B54" s="33">
        <f>w_uf*UF*Parámetros!C41</f>
        <v>838302.88098108873</v>
      </c>
      <c r="C54" s="30">
        <f t="shared" si="8"/>
        <v>40</v>
      </c>
      <c r="D54" s="30">
        <f>((A54=Inputs!$C$12)*(Inputs!$D$12) + (A54=Inputs!$C$13)*(Inputs!$D$13) + (A54=Inputs!$C$14)*(Inputs!$D$14)) *(A54 &gt;= a_afil)*(A54&gt;=2024)</f>
        <v>0</v>
      </c>
      <c r="E54" s="30">
        <v>0</v>
      </c>
      <c r="F54" s="30">
        <f t="shared" si="28"/>
        <v>1</v>
      </c>
      <c r="G54" s="30">
        <f t="shared" si="29"/>
        <v>1</v>
      </c>
      <c r="H54" s="30">
        <v>0.49437671899795532</v>
      </c>
      <c r="I54" s="37">
        <f t="shared" si="11"/>
        <v>0.57999999999999996</v>
      </c>
      <c r="J54" s="37">
        <f t="shared" si="12"/>
        <v>0.57999999999999996</v>
      </c>
      <c r="K54" s="84"/>
      <c r="L54" s="71"/>
      <c r="M54" s="87"/>
      <c r="N54" s="47"/>
      <c r="O54" s="47"/>
      <c r="P54" s="47"/>
      <c r="Q54" s="54">
        <f t="shared" si="22"/>
        <v>583458.80516283773</v>
      </c>
      <c r="R54" s="54">
        <f t="shared" si="23"/>
        <v>583458.80516283773</v>
      </c>
      <c r="S54" s="54">
        <f t="shared" si="14"/>
        <v>583458.80516283773</v>
      </c>
      <c r="T54" s="54">
        <f t="shared" si="15"/>
        <v>583458.80516283773</v>
      </c>
      <c r="U54" s="47"/>
      <c r="V54" s="47"/>
      <c r="W54" s="47"/>
      <c r="X54" s="54">
        <f t="shared" si="33"/>
        <v>11314793.317068191</v>
      </c>
      <c r="Y54" s="54">
        <f t="shared" si="34"/>
        <v>11314793.317068191</v>
      </c>
      <c r="Z54" s="54">
        <f t="shared" si="26"/>
        <v>11314793.317068191</v>
      </c>
      <c r="AA54" s="54">
        <f t="shared" si="27"/>
        <v>11314793.317068191</v>
      </c>
      <c r="AG54" s="52">
        <f t="shared" si="30"/>
        <v>0</v>
      </c>
      <c r="AH54" s="52">
        <f t="shared" si="31"/>
        <v>0</v>
      </c>
      <c r="AI54" s="52">
        <f t="shared" si="18"/>
        <v>0</v>
      </c>
      <c r="AJ54" s="52">
        <f t="shared" si="19"/>
        <v>0</v>
      </c>
      <c r="AK54" s="30"/>
      <c r="AL54" s="30"/>
      <c r="AM54" s="30"/>
      <c r="AN54" s="30"/>
      <c r="AO54" s="30"/>
      <c r="AP54" s="30"/>
      <c r="AS54" s="39"/>
      <c r="AT54" s="47"/>
      <c r="AU54" s="47"/>
      <c r="AV54" s="52">
        <f t="shared" si="20"/>
        <v>0</v>
      </c>
      <c r="AW54" s="52">
        <f t="shared" si="32"/>
        <v>0</v>
      </c>
      <c r="AX54" s="39"/>
      <c r="AY54" s="39"/>
    </row>
    <row r="55" spans="1:52" x14ac:dyDescent="0.25">
      <c r="A55" s="30">
        <v>2020</v>
      </c>
      <c r="B55" s="33">
        <f>w_uf*UF*Parámetros!C42</f>
        <v>855481.18804282811</v>
      </c>
      <c r="C55" s="30">
        <f t="shared" si="8"/>
        <v>41</v>
      </c>
      <c r="D55" s="30">
        <f>((A55=Inputs!$C$12)*(Inputs!$D$12) + (A55=Inputs!$C$13)*(Inputs!$D$13) + (A55=Inputs!$C$14)*(Inputs!$D$14)) *(A55 &gt;= a_afil)*(A55&gt;=2024)</f>
        <v>0</v>
      </c>
      <c r="E55" s="30">
        <v>0</v>
      </c>
      <c r="F55" s="30">
        <f t="shared" si="28"/>
        <v>1</v>
      </c>
      <c r="G55" s="30">
        <f t="shared" si="29"/>
        <v>1</v>
      </c>
      <c r="H55" s="30">
        <v>0.97296667098999023</v>
      </c>
      <c r="I55" s="37">
        <f t="shared" si="11"/>
        <v>0.57999999999999996</v>
      </c>
      <c r="J55" s="37">
        <f t="shared" si="12"/>
        <v>0.57999999999999996</v>
      </c>
      <c r="K55" s="84"/>
      <c r="L55" s="71"/>
      <c r="M55" s="97"/>
      <c r="N55" s="98"/>
      <c r="O55" s="98"/>
      <c r="P55" s="98"/>
      <c r="Q55" s="192">
        <f t="shared" si="22"/>
        <v>595414.90687780839</v>
      </c>
      <c r="R55" s="192">
        <f t="shared" si="23"/>
        <v>595414.90687780839</v>
      </c>
      <c r="S55" s="192">
        <f t="shared" si="14"/>
        <v>595414.90687780839</v>
      </c>
      <c r="T55" s="192">
        <f t="shared" si="15"/>
        <v>595414.90687780839</v>
      </c>
      <c r="U55" s="98"/>
      <c r="V55" s="98"/>
      <c r="W55" s="98"/>
      <c r="X55" s="192">
        <f t="shared" si="33"/>
        <v>13602901.3041794</v>
      </c>
      <c r="Y55" s="192">
        <f t="shared" si="34"/>
        <v>13602901.3041794</v>
      </c>
      <c r="Z55" s="192">
        <f t="shared" si="26"/>
        <v>13602901.3041794</v>
      </c>
      <c r="AA55" s="192">
        <f t="shared" si="27"/>
        <v>13602901.3041794</v>
      </c>
      <c r="AB55" s="96"/>
      <c r="AC55" s="96"/>
      <c r="AD55" s="96"/>
      <c r="AE55" s="96"/>
      <c r="AF55" s="96"/>
      <c r="AG55" s="189">
        <f t="shared" si="30"/>
        <v>0</v>
      </c>
      <c r="AH55" s="52">
        <f t="shared" si="31"/>
        <v>0</v>
      </c>
      <c r="AI55" s="189">
        <f t="shared" si="18"/>
        <v>0</v>
      </c>
      <c r="AJ55" s="189">
        <f t="shared" si="19"/>
        <v>0</v>
      </c>
      <c r="AK55" s="30"/>
      <c r="AL55" s="30"/>
      <c r="AM55" s="30"/>
      <c r="AN55" s="30"/>
      <c r="AO55" s="30"/>
      <c r="AP55" s="30"/>
      <c r="AS55" s="39"/>
      <c r="AT55" s="98"/>
      <c r="AU55" s="98"/>
      <c r="AV55" s="189">
        <f t="shared" si="20"/>
        <v>0</v>
      </c>
      <c r="AW55" s="189">
        <f t="shared" si="32"/>
        <v>0</v>
      </c>
      <c r="AX55" s="39"/>
      <c r="AY55" s="39"/>
    </row>
    <row r="56" spans="1:52" x14ac:dyDescent="0.25">
      <c r="A56" s="30">
        <v>2021</v>
      </c>
      <c r="B56" s="33">
        <f>w_uf*UF*Parámetros!C43</f>
        <v>860479.05786741071</v>
      </c>
      <c r="C56" s="30">
        <f t="shared" si="8"/>
        <v>42</v>
      </c>
      <c r="D56" s="30">
        <f>((A56=Inputs!$C$12)*(Inputs!$D$12) + (A56=Inputs!$C$13)*(Inputs!$D$13) + (A56=Inputs!$C$14)*(Inputs!$D$14)) *(A56 &gt;= a_afil)*(A56&gt;=2024)</f>
        <v>0</v>
      </c>
      <c r="E56" s="30">
        <v>0</v>
      </c>
      <c r="F56" s="30">
        <f t="shared" si="28"/>
        <v>1</v>
      </c>
      <c r="G56" s="30">
        <f t="shared" si="29"/>
        <v>1</v>
      </c>
      <c r="H56" s="30">
        <v>0.2177998423576355</v>
      </c>
      <c r="I56" s="37">
        <f t="shared" si="11"/>
        <v>0.57999999999999996</v>
      </c>
      <c r="J56" s="37">
        <f t="shared" si="12"/>
        <v>0.57999999999999996</v>
      </c>
      <c r="K56" s="84"/>
      <c r="L56" s="71"/>
      <c r="M56" s="47"/>
      <c r="N56" s="47"/>
      <c r="O56" s="47"/>
      <c r="P56" s="47"/>
      <c r="Q56" s="54">
        <f t="shared" si="22"/>
        <v>598893.42427571793</v>
      </c>
      <c r="R56" s="54">
        <f t="shared" si="23"/>
        <v>598893.42427571793</v>
      </c>
      <c r="S56" s="54">
        <f t="shared" si="14"/>
        <v>598893.42427571793</v>
      </c>
      <c r="T56" s="54">
        <f t="shared" si="15"/>
        <v>598893.42427571793</v>
      </c>
      <c r="U56" s="47"/>
      <c r="V56" s="47"/>
      <c r="W56" s="47"/>
      <c r="X56" s="54">
        <f t="shared" si="33"/>
        <v>14789440.064795667</v>
      </c>
      <c r="Y56" s="54">
        <f t="shared" si="34"/>
        <v>14789440.064795667</v>
      </c>
      <c r="Z56" s="54">
        <f t="shared" si="26"/>
        <v>14789440.064795667</v>
      </c>
      <c r="AA56" s="54">
        <f t="shared" si="27"/>
        <v>14789440.064795667</v>
      </c>
      <c r="AG56" s="52">
        <f t="shared" si="30"/>
        <v>0</v>
      </c>
      <c r="AH56" s="52">
        <f t="shared" si="31"/>
        <v>0</v>
      </c>
      <c r="AI56" s="52">
        <f t="shared" si="18"/>
        <v>0</v>
      </c>
      <c r="AJ56" s="52">
        <f t="shared" si="19"/>
        <v>0</v>
      </c>
      <c r="AK56" s="30"/>
      <c r="AL56" s="30"/>
      <c r="AM56" s="30"/>
      <c r="AN56" s="30"/>
      <c r="AO56" s="30"/>
      <c r="AP56" s="30"/>
      <c r="AS56" s="39"/>
      <c r="AT56" s="47"/>
      <c r="AU56" s="47"/>
      <c r="AV56" s="189">
        <f t="shared" si="20"/>
        <v>0</v>
      </c>
      <c r="AW56" s="189">
        <f t="shared" si="32"/>
        <v>0</v>
      </c>
      <c r="AX56" s="39"/>
      <c r="AY56" s="39"/>
    </row>
    <row r="57" spans="1:52" x14ac:dyDescent="0.25">
      <c r="A57" s="30">
        <v>2022</v>
      </c>
      <c r="B57" s="33">
        <f>w_uf*UF*Parámetros!C44</f>
        <v>869749.058934264</v>
      </c>
      <c r="C57" s="30">
        <f t="shared" si="8"/>
        <v>43</v>
      </c>
      <c r="D57" s="30">
        <f>((A57=Inputs!$C$12)*(Inputs!$D$12) + (A57=Inputs!$C$13)*(Inputs!$D$13) + (A57=Inputs!$C$14)*(Inputs!$D$14)) *(A57 &gt;= a_afil)*(A57&gt;=2024)</f>
        <v>0</v>
      </c>
      <c r="E57" s="30">
        <v>0</v>
      </c>
      <c r="F57" s="30">
        <f t="shared" si="28"/>
        <v>1</v>
      </c>
      <c r="G57" s="30">
        <f t="shared" si="29"/>
        <v>1</v>
      </c>
      <c r="H57" s="30">
        <v>0.37899124622344971</v>
      </c>
      <c r="I57" s="37">
        <f t="shared" si="11"/>
        <v>0.57999999999999996</v>
      </c>
      <c r="J57" s="37">
        <f t="shared" si="12"/>
        <v>0.57999999999999996</v>
      </c>
      <c r="K57" s="84"/>
      <c r="L57" s="71"/>
      <c r="M57" s="47"/>
      <c r="N57" s="47"/>
      <c r="O57" s="47"/>
      <c r="P57" s="47"/>
      <c r="Q57" s="54">
        <f t="shared" si="22"/>
        <v>605345.34501824772</v>
      </c>
      <c r="R57" s="54">
        <f t="shared" si="23"/>
        <v>605345.34501824772</v>
      </c>
      <c r="S57" s="54">
        <f t="shared" si="14"/>
        <v>605345.34501824772</v>
      </c>
      <c r="T57" s="54">
        <f t="shared" si="15"/>
        <v>605345.34501824772</v>
      </c>
      <c r="U57" s="47"/>
      <c r="V57" s="178"/>
      <c r="W57" s="47"/>
      <c r="X57" s="54">
        <f t="shared" si="33"/>
        <v>15047233.568291217</v>
      </c>
      <c r="Y57" s="54">
        <f t="shared" si="34"/>
        <v>15047233.568291217</v>
      </c>
      <c r="Z57" s="54">
        <f t="shared" si="26"/>
        <v>15047233.568291217</v>
      </c>
      <c r="AA57" s="54">
        <f t="shared" si="27"/>
        <v>15047233.568291217</v>
      </c>
      <c r="AG57" s="52">
        <f t="shared" si="30"/>
        <v>0</v>
      </c>
      <c r="AH57" s="52">
        <f t="shared" si="31"/>
        <v>0</v>
      </c>
      <c r="AI57" s="52">
        <f t="shared" si="18"/>
        <v>0</v>
      </c>
      <c r="AJ57" s="52">
        <f t="shared" si="19"/>
        <v>0</v>
      </c>
      <c r="AK57" s="30"/>
      <c r="AL57" s="30"/>
      <c r="AM57" s="30"/>
      <c r="AN57" s="30"/>
      <c r="AO57" s="30"/>
      <c r="AP57" s="30"/>
      <c r="AS57" s="39"/>
      <c r="AT57" s="178"/>
      <c r="AU57" s="47"/>
      <c r="AV57" s="52">
        <f t="shared" si="20"/>
        <v>0</v>
      </c>
      <c r="AW57" s="52">
        <f t="shared" si="32"/>
        <v>0</v>
      </c>
      <c r="AX57" s="39"/>
      <c r="AY57" s="39"/>
      <c r="AZ57" s="96"/>
    </row>
    <row r="58" spans="1:52" s="94" customFormat="1" x14ac:dyDescent="0.25">
      <c r="A58" s="125">
        <v>2023</v>
      </c>
      <c r="B58" s="126">
        <f>w_uf*UF*Parámetros!C45</f>
        <v>849382.71604938281</v>
      </c>
      <c r="C58" s="125">
        <f t="shared" ref="C58:C79" si="35">IF(AND(A58-a_nac&lt;=110,A58-a_nac&gt;0),A58-a_nac,"")</f>
        <v>44</v>
      </c>
      <c r="D58" s="125">
        <f>((A58=Inputs!$C$12)*(Inputs!$D$12) + (A58=Inputs!$C$13)*(Inputs!$D$13) + (A58=Inputs!$C$14)*(Inputs!$D$14)) *(A58 &gt;= a_afil)*(A58&gt;=2024)</f>
        <v>0</v>
      </c>
      <c r="E58" s="125">
        <v>0</v>
      </c>
      <c r="F58" s="125">
        <f t="shared" si="28"/>
        <v>1</v>
      </c>
      <c r="G58" s="125">
        <f t="shared" si="29"/>
        <v>1</v>
      </c>
      <c r="H58" s="125">
        <v>0.39584428071975708</v>
      </c>
      <c r="I58" s="127">
        <f t="shared" si="11"/>
        <v>0.57999999999999996</v>
      </c>
      <c r="J58" s="127">
        <f t="shared" si="12"/>
        <v>0.57999999999999996</v>
      </c>
      <c r="K58" s="125"/>
      <c r="L58" s="125"/>
      <c r="M58" s="128"/>
      <c r="N58" s="129"/>
      <c r="O58" s="129"/>
      <c r="P58" s="129"/>
      <c r="Q58" s="193">
        <f t="shared" si="22"/>
        <v>591170.37037037034</v>
      </c>
      <c r="R58" s="193">
        <f t="shared" si="23"/>
        <v>591170.37037037034</v>
      </c>
      <c r="S58" s="142">
        <f t="shared" si="14"/>
        <v>591170.37037037034</v>
      </c>
      <c r="T58" s="142">
        <f t="shared" si="15"/>
        <v>591170.37037037034</v>
      </c>
      <c r="U58" s="129"/>
      <c r="V58" s="205"/>
      <c r="W58" s="205"/>
      <c r="X58" s="193">
        <f t="shared" si="33"/>
        <v>14252553.727021966</v>
      </c>
      <c r="Y58" s="193">
        <f t="shared" si="34"/>
        <v>14252553.727021966</v>
      </c>
      <c r="Z58" s="193">
        <f t="shared" si="26"/>
        <v>14252553.727021966</v>
      </c>
      <c r="AA58" s="193">
        <f t="shared" si="27"/>
        <v>14252553.727021966</v>
      </c>
      <c r="AB58" s="125"/>
      <c r="AC58" s="125"/>
      <c r="AD58" s="125"/>
      <c r="AE58" s="125"/>
      <c r="AF58" s="125"/>
      <c r="AG58" s="190">
        <f t="shared" si="30"/>
        <v>0</v>
      </c>
      <c r="AH58" s="191">
        <f t="shared" si="31"/>
        <v>0</v>
      </c>
      <c r="AI58" s="190">
        <f t="shared" si="18"/>
        <v>0</v>
      </c>
      <c r="AJ58" s="190">
        <f t="shared" si="19"/>
        <v>0</v>
      </c>
      <c r="AK58" s="125"/>
      <c r="AL58" s="125"/>
      <c r="AM58" s="125"/>
      <c r="AN58" s="125"/>
      <c r="AO58" s="125"/>
      <c r="AP58" s="125"/>
      <c r="AQ58" s="125"/>
      <c r="AR58" s="125"/>
      <c r="AS58" s="95"/>
      <c r="AT58" s="98"/>
      <c r="AU58" s="98"/>
      <c r="AV58" s="191">
        <f t="shared" si="20"/>
        <v>0</v>
      </c>
      <c r="AW58" s="191">
        <f t="shared" si="32"/>
        <v>0</v>
      </c>
      <c r="AX58" s="95"/>
      <c r="AY58" s="95"/>
      <c r="AZ58" s="240"/>
    </row>
    <row r="59" spans="1:52" s="69" customFormat="1" x14ac:dyDescent="0.25">
      <c r="A59" s="69">
        <v>2024</v>
      </c>
      <c r="B59" s="66">
        <f>w_uf*UF*Parámetros!C46</f>
        <v>860000</v>
      </c>
      <c r="C59" s="69">
        <f t="shared" si="35"/>
        <v>45</v>
      </c>
      <c r="D59" s="69">
        <f>((A59=Inputs!$C$12)*(Inputs!$D$12) + (A59=Inputs!$C$13)*(Inputs!$D$13) + (A59=Inputs!$C$14)*(Inputs!$D$14)) *(A59 &gt;= a_afil)*(A59&gt;=2024)</f>
        <v>0</v>
      </c>
      <c r="E59" s="69">
        <f>MIN(1,(A59=Inputs!$C$19)*Inputs!$D$19+(A59=Inputs!$C$20)*Inputs!$D$20+(A59=Inputs!$C$21)*Inputs!$D$21 * (A59 &gt;= a_afil))</f>
        <v>0</v>
      </c>
      <c r="F59" s="69">
        <f t="shared" si="28"/>
        <v>1</v>
      </c>
      <c r="G59" s="69">
        <f t="shared" si="29"/>
        <v>1</v>
      </c>
      <c r="H59" s="69">
        <v>0.28150343894958496</v>
      </c>
      <c r="I59" s="67">
        <f t="shared" ref="I59:I89" si="36">IF(F59=1,+dens_cot,0)</f>
        <v>0.57999999999999996</v>
      </c>
      <c r="J59" s="67">
        <f t="shared" ref="J59:J89" si="37">IF(G59=1,+dens_mujer,0)</f>
        <v>0.57999999999999996</v>
      </c>
      <c r="K59" s="65">
        <f>1*OR(Inputs!$D$17=$A59,Inputs!$E$17=$A59)*($E59=0)*(F59=1)</f>
        <v>0</v>
      </c>
      <c r="L59" s="65">
        <f>1*OR(Inputs!$D$17=$A59,Inputs!$E$17=$A59)*($E59=0)*(G59=1)</f>
        <v>0</v>
      </c>
      <c r="M59" s="90">
        <f t="shared" ref="M59:N63" si="38">MIN($B59,_xlfn.XLOOKUP($A59,agnos,tope_ref_ind)*UF)*12*I59*$AY59</f>
        <v>0</v>
      </c>
      <c r="N59" s="90">
        <f t="shared" si="38"/>
        <v>0</v>
      </c>
      <c r="O59" s="91">
        <f>Parámetros!$E46*12*I59*$AY59</f>
        <v>0</v>
      </c>
      <c r="P59" s="91">
        <f>Parámetros!$E46*12*J59*$AY59</f>
        <v>0</v>
      </c>
      <c r="Q59" s="70">
        <f t="shared" ref="Q59:Q122" si="39">MIN($B59,_xlfn.XLOOKUP($A59,agnos,tope_base)*UF)*12*I59*$X$2</f>
        <v>598560</v>
      </c>
      <c r="R59" s="70">
        <f t="shared" ref="R59:R122" si="40">MIN($B59,_xlfn.XLOOKUP($A59,agnos,tope_base)*UF)*12*J59*$X$2</f>
        <v>598560</v>
      </c>
      <c r="S59" s="203">
        <f>MIN($B59,_xlfn.XLOOKUP($A59,agnos,tope_ref_ind)*UF) * 12*I59*$X$2</f>
        <v>598560</v>
      </c>
      <c r="T59" s="203">
        <f>MIN($B59,_xlfn.XLOOKUP($A59,agnos,tope_ref_ind)*UF) * 12*J59*$X$2</f>
        <v>598560</v>
      </c>
      <c r="U59" s="177"/>
      <c r="V59" s="91">
        <f>M59*alpha+O59*(1-alpha)+F58*V58*(1+_xlfn.XLOOKUP(MIN(2024,$A58),agnos_rent,rent_base))</f>
        <v>0</v>
      </c>
      <c r="W59" s="91">
        <f>N59*alpha+P59*(1-alpha)+G58*W58*(1+_xlfn.XLOOKUP(MIN(2024,$A58),agnos_rent,rent_base))</f>
        <v>0</v>
      </c>
      <c r="X59" s="70">
        <f t="shared" si="33"/>
        <v>15332850.042995309</v>
      </c>
      <c r="Y59" s="70">
        <f t="shared" si="34"/>
        <v>15332850.042995309</v>
      </c>
      <c r="Z59" s="179">
        <f>S59+IF(F58,Z58*(1+_xlfn.XLOOKUP(MIN(2024,$A58),agnos_rent,rent_base)),0)</f>
        <v>15332850.042995309</v>
      </c>
      <c r="AA59" s="179">
        <f>T59+IF(G58,AA58*(1+_xlfn.XLOOKUP(MIN(2024,$A58),agnos_rent,rent_base)),0)</f>
        <v>15332850.042995309</v>
      </c>
      <c r="AB59" s="204">
        <f>D59*mmater*Parámetros!$G46*$X$5</f>
        <v>0</v>
      </c>
      <c r="AC59" s="204">
        <f>E59*12*Parámetros!$F46*$X$5</f>
        <v>0</v>
      </c>
      <c r="AD59" s="56"/>
      <c r="AE59" s="56"/>
      <c r="AF59" s="175"/>
      <c r="AG59" s="74">
        <f t="shared" si="30"/>
        <v>0</v>
      </c>
      <c r="AH59" s="74">
        <f t="shared" si="31"/>
        <v>0</v>
      </c>
      <c r="AI59" s="56">
        <f t="shared" ref="AI59:AI90" si="41">($A59=D$9)*SUM(V59,Z59)/(12*_xlfn.XLOOKUP(AI$15,sexo_cnu,cnu))</f>
        <v>0</v>
      </c>
      <c r="AJ59" s="56">
        <f t="shared" ref="AJ59:AJ90" si="42">($A59=E$9)*SUM(W59,AA59)/(12*_xlfn.XLOOKUP(AJ$15,sexo_cnu,cnu))</f>
        <v>0</v>
      </c>
      <c r="AK59" s="56"/>
      <c r="AL59" s="56"/>
      <c r="AM59" s="56"/>
      <c r="AN59" s="56"/>
      <c r="AO59" s="56">
        <f t="shared" ref="AO59:AO90" si="43">($A59=E$9)*AB59/(12*_xlfn.XLOOKUP(AO$15,sexo_cnu,cnu_noc))</f>
        <v>0</v>
      </c>
      <c r="AP59" s="56">
        <f t="shared" ref="AP59:AP90" si="44">($A59=E$9)*AC59/(12*_xlfn.XLOOKUP(AP$15,sexo_cnu,cnu_noc))</f>
        <v>0</v>
      </c>
      <c r="AQ59" s="56">
        <f t="shared" ref="AQ59:AQ90" si="45">($A59=D$9)*AD59/(12*_xlfn.XLOOKUP(AQ$15,sexo_cnu,cnu_noc))</f>
        <v>0</v>
      </c>
      <c r="AR59" s="56">
        <f t="shared" ref="AR59:AR90" si="46">($A59=E$9)*AE59/(12*_xlfn.XLOOKUP(AR$15,sexo_cnu,cnu_noc))</f>
        <v>0</v>
      </c>
      <c r="AS59" s="93"/>
      <c r="AT59" s="187">
        <f t="shared" ref="AT59:AT90" si="47">IF($A59=a_nac+edad_ret_h,V59/(12*_xlfn.XLOOKUP(AT$15,sexo_cnu,cnu)),0)</f>
        <v>0</v>
      </c>
      <c r="AU59" s="187">
        <f t="shared" ref="AU59:AU90" si="48">IF($A59=a_nac+edad_ret_m,W59/(12*_xlfn.XLOOKUP(AU$15,sexo_cnu,cnu)),0)</f>
        <v>0</v>
      </c>
      <c r="AV59" s="187">
        <f t="shared" ref="AV59:AV90" si="49">IF($A59=a_nac+edad_ret_h,Z59/(12*_xlfn.XLOOKUP(AV$15,sexo_cnu,cnu)),0)</f>
        <v>0</v>
      </c>
      <c r="AW59" s="187">
        <f t="shared" si="32"/>
        <v>0</v>
      </c>
      <c r="AX59" s="93"/>
      <c r="AY59" s="250">
        <v>0</v>
      </c>
      <c r="AZ59" s="65"/>
    </row>
    <row r="60" spans="1:52" x14ac:dyDescent="0.25">
      <c r="A60" s="30">
        <v>2025</v>
      </c>
      <c r="B60" s="33">
        <f>w_uf*UF*Parámetros!C47</f>
        <v>870750</v>
      </c>
      <c r="C60" s="30">
        <f t="shared" si="35"/>
        <v>46</v>
      </c>
      <c r="D60" s="30">
        <f>((A60=Inputs!$C$12)*(Inputs!$D$12) + (A60=Inputs!$C$13)*(Inputs!$D$13) + (A60=Inputs!$C$14)*(Inputs!$D$14)) *(A60 &gt;= a_afil)*(A60&gt;=2024)</f>
        <v>0</v>
      </c>
      <c r="E60" s="30">
        <f>MIN(1,(A60=Inputs!$C$19)*Inputs!$D$19+(A60=Inputs!$C$20)*Inputs!$D$20+(A60=Inputs!$C$21)*Inputs!$D$21*(A60 &gt;= a_afil))</f>
        <v>0</v>
      </c>
      <c r="F60" s="30">
        <f t="shared" si="28"/>
        <v>1</v>
      </c>
      <c r="G60" s="30">
        <f t="shared" si="29"/>
        <v>1</v>
      </c>
      <c r="H60" s="30">
        <v>0.50337117910385132</v>
      </c>
      <c r="I60" s="37">
        <f t="shared" si="36"/>
        <v>0.57999999999999996</v>
      </c>
      <c r="J60" s="37">
        <f t="shared" si="37"/>
        <v>0.57999999999999996</v>
      </c>
      <c r="K60" s="30">
        <f>1*OR(Inputs!$D$17=$A60,Inputs!$E$17=$A60)*($E60=0)*(F60=1)</f>
        <v>0</v>
      </c>
      <c r="L60" s="30">
        <f>1*OR(Inputs!$D$17=$A60,Inputs!$E$17=$A60)*($E60=0)*(G60=1)</f>
        <v>0</v>
      </c>
      <c r="M60" s="90">
        <f t="shared" si="38"/>
        <v>0</v>
      </c>
      <c r="N60" s="90">
        <f t="shared" si="38"/>
        <v>0</v>
      </c>
      <c r="O60" s="76">
        <f>Parámetros!$E47*12*I60*$AY60</f>
        <v>0</v>
      </c>
      <c r="P60" s="76">
        <f>Parámetros!$E47*12*J60*$AY60</f>
        <v>0</v>
      </c>
      <c r="Q60" s="70">
        <f t="shared" si="39"/>
        <v>606042</v>
      </c>
      <c r="R60" s="70">
        <f t="shared" si="40"/>
        <v>606042</v>
      </c>
      <c r="S60" s="203">
        <f>MIN($B60,_xlfn.XLOOKUP($A60,agnos,tope_ref_ind)*UF) * 12*I60*$X$2</f>
        <v>606042</v>
      </c>
      <c r="T60" s="203">
        <f>MIN($B60,_xlfn.XLOOKUP($A60,agnos,tope_ref_ind)*UF) * 12*J60*$X$2</f>
        <v>606042</v>
      </c>
      <c r="U60" s="177"/>
      <c r="V60" s="76">
        <f>M60*alpha+O60*(1-alpha)+F59*V59*(1+_xlfn.XLOOKUP(MIN(2024,$A59),agnos_rent,rent_base))</f>
        <v>0</v>
      </c>
      <c r="W60" s="76">
        <f>N60*alpha+P60*(1-alpha)+G59*W59*(1+_xlfn.XLOOKUP(MIN(2024,$A59),agnos_rent,rent_base))</f>
        <v>0</v>
      </c>
      <c r="X60" s="54">
        <f t="shared" si="33"/>
        <v>16457142.374448551</v>
      </c>
      <c r="Y60" s="54">
        <f t="shared" si="34"/>
        <v>16457142.374448551</v>
      </c>
      <c r="Z60" s="76">
        <f>S60+IF(F59,Z59*(1+_xlfn.XLOOKUP(MIN(2024,$A59),agnos_rent,rent_base)),0)</f>
        <v>16457142.374448551</v>
      </c>
      <c r="AA60" s="76">
        <f>T60+IF(G59,AA59*(1+_xlfn.XLOOKUP(MIN(2024,$A59),agnos_rent,rent_base)),0)</f>
        <v>16457142.374448551</v>
      </c>
      <c r="AB60" s="53">
        <f>D60*mmater*Parámetros!$G47*$X$5+AB59*(1+i_noc)</f>
        <v>0</v>
      </c>
      <c r="AC60" s="53">
        <f>E60*12*Parámetros!$F47*$X$5+AC59*(1+i_noc)</f>
        <v>0</v>
      </c>
      <c r="AD60" s="53"/>
      <c r="AE60" s="53"/>
      <c r="AF60" s="175"/>
      <c r="AG60" s="74">
        <f t="shared" si="30"/>
        <v>0</v>
      </c>
      <c r="AH60" s="52">
        <f t="shared" si="31"/>
        <v>0</v>
      </c>
      <c r="AI60" s="56">
        <f t="shared" si="41"/>
        <v>0</v>
      </c>
      <c r="AJ60" s="56">
        <f t="shared" si="42"/>
        <v>0</v>
      </c>
      <c r="AK60" s="56"/>
      <c r="AL60" s="56"/>
      <c r="AM60" s="56"/>
      <c r="AN60" s="56"/>
      <c r="AO60" s="56">
        <f t="shared" si="43"/>
        <v>0</v>
      </c>
      <c r="AP60" s="56">
        <f t="shared" si="44"/>
        <v>0</v>
      </c>
      <c r="AQ60" s="53">
        <f t="shared" si="45"/>
        <v>0</v>
      </c>
      <c r="AR60" s="53">
        <f t="shared" si="46"/>
        <v>0</v>
      </c>
      <c r="AS60" s="39"/>
      <c r="AT60" s="68">
        <f t="shared" si="47"/>
        <v>0</v>
      </c>
      <c r="AU60" s="68">
        <f t="shared" si="48"/>
        <v>0</v>
      </c>
      <c r="AV60" s="68">
        <f t="shared" si="49"/>
        <v>0</v>
      </c>
      <c r="AW60" s="68">
        <f t="shared" si="32"/>
        <v>0</v>
      </c>
      <c r="AX60" s="39"/>
      <c r="AY60" s="251">
        <v>0</v>
      </c>
      <c r="AZ60" s="47"/>
    </row>
    <row r="61" spans="1:52" s="47" customFormat="1" x14ac:dyDescent="0.25">
      <c r="A61" s="47">
        <v>2026</v>
      </c>
      <c r="B61" s="33">
        <f>w_uf*UF*Parámetros!C48</f>
        <v>881634.375</v>
      </c>
      <c r="C61" s="47">
        <f t="shared" si="35"/>
        <v>47</v>
      </c>
      <c r="D61" s="47">
        <f>((A61=Inputs!$C$12)*(Inputs!$D$12) + (A61=Inputs!$C$13)*(Inputs!$D$13) + (A61=Inputs!$C$14)*(Inputs!$D$14)) *(A61 &gt;= a_afil)*(A61&gt;=2024)</f>
        <v>0</v>
      </c>
      <c r="E61" s="47">
        <f>MIN(1,(A61=Inputs!$C$19)*Inputs!$D$19+(A61=Inputs!$C$20)*Inputs!$D$20+(A61=Inputs!$C$21)*Inputs!$D$21*(A61 &gt;= a_afil))</f>
        <v>0</v>
      </c>
      <c r="F61" s="47">
        <f t="shared" si="28"/>
        <v>1</v>
      </c>
      <c r="G61" s="47">
        <f t="shared" si="29"/>
        <v>1</v>
      </c>
      <c r="H61" s="47">
        <v>0.13873231410980225</v>
      </c>
      <c r="I61" s="37">
        <f t="shared" si="36"/>
        <v>0.57999999999999996</v>
      </c>
      <c r="J61" s="37">
        <f t="shared" si="37"/>
        <v>0.57999999999999996</v>
      </c>
      <c r="K61" s="30">
        <f>1*OR(Inputs!$D$17=$A61,Inputs!$E$17=$A61)*($E61=0)*(F61=1)</f>
        <v>0</v>
      </c>
      <c r="L61" s="30">
        <f>1*OR(Inputs!$D$17=$A61,Inputs!$E$17=$A61)*($E61=0)*(G61=1)</f>
        <v>0</v>
      </c>
      <c r="M61" s="90">
        <f t="shared" si="38"/>
        <v>0</v>
      </c>
      <c r="N61" s="90">
        <f t="shared" si="38"/>
        <v>0</v>
      </c>
      <c r="O61" s="76">
        <f>Parámetros!$E48*12*I61*$AY61</f>
        <v>0</v>
      </c>
      <c r="P61" s="76">
        <f>Parámetros!$E48*12*J61*$AY61</f>
        <v>0</v>
      </c>
      <c r="Q61" s="70">
        <f t="shared" si="39"/>
        <v>613617.52500000002</v>
      </c>
      <c r="R61" s="70">
        <f t="shared" si="40"/>
        <v>613617.52500000002</v>
      </c>
      <c r="S61" s="76">
        <f t="shared" ref="S61:T63" si="50">MIN($B61,_xlfn.XLOOKUP($A61,agnos,tope_ref_ind)*UF) * (12*I61*$X$3 +  K61*_xlfn.XLOOKUP(n_mes_laguna,giros_sc,tr_sc_acum)*($X$3+$AY61))</f>
        <v>644298.40125</v>
      </c>
      <c r="T61" s="76">
        <f t="shared" si="50"/>
        <v>644298.40125</v>
      </c>
      <c r="U61" s="177"/>
      <c r="V61" s="68">
        <f t="shared" ref="V61:V92" si="51">M61*alpha+O61*(1-alpha)+F60*V60*(1+_xlfn.XLOOKUP(MIN(2024,$A60),agnos_rent,rent_base))*(1-$X$6)</f>
        <v>0</v>
      </c>
      <c r="W61" s="68">
        <f t="shared" ref="W61:W92" si="52">N61*alpha+P61*(1-alpha)+G60*W60*(1+_xlfn.XLOOKUP(MIN(2024,$A60),agnos_rent,rent_base))*(1-$X$6)</f>
        <v>0</v>
      </c>
      <c r="X61" s="54">
        <f t="shared" si="33"/>
        <v>17627011.311704911</v>
      </c>
      <c r="Y61" s="54">
        <f t="shared" si="34"/>
        <v>17627011.311704911</v>
      </c>
      <c r="Z61" s="68">
        <f t="shared" ref="Z61:Z92" si="53">F60*Z60*(1+_xlfn.XLOOKUP(MIN(2024,$A60),agnos_rent,rent_base))*(1-$X$6)+S61</f>
        <v>17635915.043907933</v>
      </c>
      <c r="AA61" s="68">
        <f t="shared" ref="AA61:AA92" si="54">G60*AA60*(1+_xlfn.XLOOKUP(MIN(2024,$A60),agnos_rent,rent_base))*(1-$X$6)+T61</f>
        <v>17635915.043907933</v>
      </c>
      <c r="AB61" s="53">
        <f>D61*mmater*Parámetros!$G48*$X$5+AB60*(1+i_noc)</f>
        <v>0</v>
      </c>
      <c r="AC61" s="53">
        <f>E61*12*Parámetros!$F48*$X$5+AC60*(1+i_noc)</f>
        <v>0</v>
      </c>
      <c r="AD61" s="53"/>
      <c r="AE61" s="53"/>
      <c r="AF61" s="175"/>
      <c r="AG61" s="74">
        <f t="shared" si="30"/>
        <v>0</v>
      </c>
      <c r="AH61" s="52">
        <f t="shared" si="31"/>
        <v>0</v>
      </c>
      <c r="AI61" s="56">
        <f t="shared" si="41"/>
        <v>0</v>
      </c>
      <c r="AJ61" s="56">
        <f t="shared" si="42"/>
        <v>0</v>
      </c>
      <c r="AK61" s="56"/>
      <c r="AL61" s="56"/>
      <c r="AM61" s="56"/>
      <c r="AN61" s="56"/>
      <c r="AO61" s="56">
        <f t="shared" si="43"/>
        <v>0</v>
      </c>
      <c r="AP61" s="56">
        <f t="shared" si="44"/>
        <v>0</v>
      </c>
      <c r="AQ61" s="53">
        <f t="shared" si="45"/>
        <v>0</v>
      </c>
      <c r="AR61" s="53">
        <f t="shared" si="46"/>
        <v>0</v>
      </c>
      <c r="AS61" s="48"/>
      <c r="AT61" s="68">
        <f t="shared" si="47"/>
        <v>0</v>
      </c>
      <c r="AU61" s="68">
        <f t="shared" si="48"/>
        <v>0</v>
      </c>
      <c r="AV61" s="68">
        <f t="shared" si="49"/>
        <v>0</v>
      </c>
      <c r="AW61" s="68">
        <f t="shared" si="32"/>
        <v>0</v>
      </c>
      <c r="AX61" s="48"/>
      <c r="AY61" s="251">
        <v>0</v>
      </c>
      <c r="AZ61" s="30"/>
    </row>
    <row r="62" spans="1:52" x14ac:dyDescent="0.25">
      <c r="A62" s="30">
        <v>2027</v>
      </c>
      <c r="B62" s="33">
        <f>w_uf*UF*Parámetros!C49</f>
        <v>892654.80468749988</v>
      </c>
      <c r="C62" s="30">
        <f t="shared" si="35"/>
        <v>48</v>
      </c>
      <c r="D62" s="30">
        <f>((A62=Inputs!$C$12)*(Inputs!$D$12) + (A62=Inputs!$C$13)*(Inputs!$D$13) + (A62=Inputs!$C$14)*(Inputs!$D$14)) *(A62 &gt;= a_afil)*(A62&gt;=2024)</f>
        <v>0</v>
      </c>
      <c r="E62" s="30">
        <f>MIN(1,(A62=Inputs!$C$19)*Inputs!$D$19+(A62=Inputs!$C$20)*Inputs!$D$20+(A62=Inputs!$C$21)*Inputs!$D$21*(A62 &gt;= a_afil))</f>
        <v>0</v>
      </c>
      <c r="F62" s="30">
        <f t="shared" si="28"/>
        <v>1</v>
      </c>
      <c r="G62" s="30">
        <f t="shared" si="29"/>
        <v>1</v>
      </c>
      <c r="H62" s="30">
        <v>0.51725584268569946</v>
      </c>
      <c r="I62" s="37">
        <f t="shared" si="36"/>
        <v>0.57999999999999996</v>
      </c>
      <c r="J62" s="37">
        <f t="shared" si="37"/>
        <v>0.57999999999999996</v>
      </c>
      <c r="K62" s="30">
        <f>1*OR(Inputs!$D$17=$A62,Inputs!$E$17=$A62)*($E62=0)*(F62=1)</f>
        <v>0</v>
      </c>
      <c r="L62" s="30">
        <f>1*OR(Inputs!$D$17=$A62,Inputs!$E$17=$A62)*($E62=0)*(G62=1)</f>
        <v>0</v>
      </c>
      <c r="M62" s="90">
        <f t="shared" si="38"/>
        <v>0</v>
      </c>
      <c r="N62" s="90">
        <f t="shared" si="38"/>
        <v>0</v>
      </c>
      <c r="O62" s="76">
        <f>Parámetros!$E49*12*I62*$AY62</f>
        <v>0</v>
      </c>
      <c r="P62" s="76">
        <f>Parámetros!$E49*12*J62*$AY62</f>
        <v>0</v>
      </c>
      <c r="Q62" s="70">
        <f t="shared" si="39"/>
        <v>621287.74406249996</v>
      </c>
      <c r="R62" s="70">
        <f t="shared" si="40"/>
        <v>621287.74406249996</v>
      </c>
      <c r="S62" s="76">
        <f t="shared" si="50"/>
        <v>652352.13126562489</v>
      </c>
      <c r="T62" s="76">
        <f t="shared" si="50"/>
        <v>652352.13126562489</v>
      </c>
      <c r="U62" s="177"/>
      <c r="V62" s="68">
        <f t="shared" si="51"/>
        <v>0</v>
      </c>
      <c r="W62" s="68">
        <f t="shared" si="52"/>
        <v>0</v>
      </c>
      <c r="X62" s="54">
        <f t="shared" si="33"/>
        <v>18844092.038103037</v>
      </c>
      <c r="Y62" s="54">
        <f t="shared" si="34"/>
        <v>18844092.038103037</v>
      </c>
      <c r="Z62" s="55">
        <f t="shared" si="53"/>
        <v>18861024.132172987</v>
      </c>
      <c r="AA62" s="55">
        <f t="shared" si="54"/>
        <v>18861024.132172987</v>
      </c>
      <c r="AB62" s="53">
        <f>D62*mmater*Parámetros!$G49*$X$5+AB61*(1+i_noc)</f>
        <v>0</v>
      </c>
      <c r="AC62" s="53">
        <f>E62*12*Parámetros!$F49*$X$5+AC61*(1+i_noc)</f>
        <v>0</v>
      </c>
      <c r="AD62" s="53"/>
      <c r="AE62" s="53"/>
      <c r="AF62" s="175"/>
      <c r="AG62" s="74">
        <f t="shared" si="30"/>
        <v>0</v>
      </c>
      <c r="AH62" s="52">
        <f t="shared" si="31"/>
        <v>0</v>
      </c>
      <c r="AI62" s="56">
        <f t="shared" si="41"/>
        <v>0</v>
      </c>
      <c r="AJ62" s="56">
        <f t="shared" si="42"/>
        <v>0</v>
      </c>
      <c r="AK62" s="56"/>
      <c r="AL62" s="56"/>
      <c r="AM62" s="56"/>
      <c r="AN62" s="56"/>
      <c r="AO62" s="56">
        <f t="shared" si="43"/>
        <v>0</v>
      </c>
      <c r="AP62" s="56">
        <f t="shared" si="44"/>
        <v>0</v>
      </c>
      <c r="AQ62" s="53">
        <f t="shared" si="45"/>
        <v>0</v>
      </c>
      <c r="AR62" s="53">
        <f t="shared" si="46"/>
        <v>0</v>
      </c>
      <c r="AS62" s="39"/>
      <c r="AT62" s="68">
        <f t="shared" si="47"/>
        <v>0</v>
      </c>
      <c r="AU62" s="68">
        <f t="shared" si="48"/>
        <v>0</v>
      </c>
      <c r="AV62" s="68">
        <f t="shared" si="49"/>
        <v>0</v>
      </c>
      <c r="AW62" s="68">
        <f t="shared" si="32"/>
        <v>0</v>
      </c>
      <c r="AX62" s="39"/>
      <c r="AY62" s="251">
        <v>0</v>
      </c>
    </row>
    <row r="63" spans="1:52" x14ac:dyDescent="0.25">
      <c r="A63" s="30">
        <v>2028</v>
      </c>
      <c r="B63" s="33">
        <f>w_uf*UF*Parámetros!C50</f>
        <v>903812.98974609352</v>
      </c>
      <c r="C63" s="30">
        <f t="shared" si="35"/>
        <v>49</v>
      </c>
      <c r="D63" s="30">
        <f>((A63=Inputs!$C$12)*(Inputs!$D$12) + (A63=Inputs!$C$13)*(Inputs!$D$13) + (A63=Inputs!$C$14)*(Inputs!$D$14)) *(A63 &gt;= a_afil)*(A63&gt;=2024)</f>
        <v>0</v>
      </c>
      <c r="E63" s="30">
        <f>MIN(1,(A63=Inputs!$C$19)*Inputs!$D$19+(A63=Inputs!$C$20)*Inputs!$D$20+(A63=Inputs!$C$21)*Inputs!$D$21*(A63 &gt;= a_afil))</f>
        <v>0</v>
      </c>
      <c r="F63" s="30">
        <f t="shared" si="28"/>
        <v>1</v>
      </c>
      <c r="G63" s="30">
        <f t="shared" si="29"/>
        <v>1</v>
      </c>
      <c r="H63" s="30">
        <v>0.96536445617675781</v>
      </c>
      <c r="I63" s="37">
        <f t="shared" si="36"/>
        <v>0.57999999999999996</v>
      </c>
      <c r="J63" s="37">
        <f t="shared" si="37"/>
        <v>0.57999999999999996</v>
      </c>
      <c r="K63" s="30">
        <f>1*OR(Inputs!$D$17=$A63,Inputs!$E$17=$A63)*($E63=0)*(F63=1)</f>
        <v>1</v>
      </c>
      <c r="L63" s="30">
        <f>1*OR(Inputs!$D$17=$A63,Inputs!$E$17=$A63)*($E63=0)*(G63=1)</f>
        <v>1</v>
      </c>
      <c r="M63" s="90">
        <f t="shared" si="38"/>
        <v>62905.3840863281</v>
      </c>
      <c r="N63" s="90">
        <f t="shared" si="38"/>
        <v>62905.3840863281</v>
      </c>
      <c r="O63" s="76">
        <f>Parámetros!$E50*12*I63*$AY63</f>
        <v>83768.880927193692</v>
      </c>
      <c r="P63" s="76">
        <f>Parámetros!$E50*12*J63*$AY63</f>
        <v>83768.880927193692</v>
      </c>
      <c r="Q63" s="70">
        <f t="shared" si="39"/>
        <v>629053.84086328105</v>
      </c>
      <c r="R63" s="70">
        <f t="shared" si="40"/>
        <v>629053.84086328105</v>
      </c>
      <c r="S63" s="76">
        <f t="shared" si="50"/>
        <v>915155.84276740707</v>
      </c>
      <c r="T63" s="76">
        <f t="shared" si="50"/>
        <v>915155.84276740707</v>
      </c>
      <c r="U63" s="177"/>
      <c r="V63" s="68">
        <f t="shared" si="51"/>
        <v>69164.433138587774</v>
      </c>
      <c r="W63" s="68">
        <f t="shared" si="52"/>
        <v>69164.433138587774</v>
      </c>
      <c r="X63" s="54">
        <f t="shared" si="33"/>
        <v>20110076.189854201</v>
      </c>
      <c r="Y63" s="54">
        <f t="shared" si="34"/>
        <v>20110076.189854201</v>
      </c>
      <c r="Z63" s="55">
        <f t="shared" si="53"/>
        <v>20388724.476370607</v>
      </c>
      <c r="AA63" s="55">
        <f t="shared" si="54"/>
        <v>20388724.476370607</v>
      </c>
      <c r="AB63" s="53">
        <f>D63*mmater*Parámetros!$G50*$X$5+AB62*(1+i_noc)</f>
        <v>0</v>
      </c>
      <c r="AC63" s="53">
        <f>E63*12*Parámetros!$F50*$X$5+AC62*(1+i_noc)</f>
        <v>0</v>
      </c>
      <c r="AD63" s="53"/>
      <c r="AE63" s="53"/>
      <c r="AF63" s="175"/>
      <c r="AG63" s="74">
        <f t="shared" si="30"/>
        <v>0</v>
      </c>
      <c r="AH63" s="52">
        <f t="shared" si="31"/>
        <v>0</v>
      </c>
      <c r="AI63" s="56">
        <f t="shared" si="41"/>
        <v>0</v>
      </c>
      <c r="AJ63" s="56">
        <f t="shared" si="42"/>
        <v>0</v>
      </c>
      <c r="AK63" s="56"/>
      <c r="AL63" s="56"/>
      <c r="AM63" s="56"/>
      <c r="AN63" s="56"/>
      <c r="AO63" s="56">
        <f t="shared" si="43"/>
        <v>0</v>
      </c>
      <c r="AP63" s="56">
        <f t="shared" si="44"/>
        <v>0</v>
      </c>
      <c r="AQ63" s="53">
        <f t="shared" si="45"/>
        <v>0</v>
      </c>
      <c r="AR63" s="53">
        <f t="shared" si="46"/>
        <v>0</v>
      </c>
      <c r="AS63" s="39"/>
      <c r="AT63" s="68">
        <f t="shared" si="47"/>
        <v>0</v>
      </c>
      <c r="AU63" s="68">
        <f t="shared" si="48"/>
        <v>0</v>
      </c>
      <c r="AV63" s="68">
        <f t="shared" si="49"/>
        <v>0</v>
      </c>
      <c r="AW63" s="68">
        <f t="shared" si="32"/>
        <v>0</v>
      </c>
      <c r="AX63" s="39"/>
      <c r="AY63" s="251">
        <v>0.01</v>
      </c>
    </row>
    <row r="64" spans="1:52" x14ac:dyDescent="0.25">
      <c r="A64" s="30">
        <v>2029</v>
      </c>
      <c r="B64" s="33">
        <f>w_uf*UF*Parámetros!C51</f>
        <v>915110.65211791953</v>
      </c>
      <c r="C64" s="30">
        <f t="shared" si="35"/>
        <v>50</v>
      </c>
      <c r="D64" s="30">
        <f>((A64=Inputs!$C$12)*(Inputs!$D$12) + (A64=Inputs!$C$13)*(Inputs!$D$13) + (A64=Inputs!$C$14)*(Inputs!$D$14)) *(A64 &gt;= a_afil)*(A64&gt;=2024)</f>
        <v>0</v>
      </c>
      <c r="E64" s="30">
        <f>MIN(1,(A64=Inputs!$C$19)*Inputs!$D$19+(A64=Inputs!$C$20)*Inputs!$D$20+(A64=Inputs!$C$21)*Inputs!$D$21*(A64 &gt;= a_afil))</f>
        <v>0</v>
      </c>
      <c r="F64" s="30">
        <f t="shared" si="28"/>
        <v>1</v>
      </c>
      <c r="G64" s="30">
        <f t="shared" si="29"/>
        <v>1</v>
      </c>
      <c r="H64" s="30">
        <v>0.55750101804733276</v>
      </c>
      <c r="I64" s="37">
        <f t="shared" si="36"/>
        <v>0.57999999999999996</v>
      </c>
      <c r="J64" s="37">
        <f t="shared" si="37"/>
        <v>0.57999999999999996</v>
      </c>
      <c r="K64" s="30">
        <f>1*OR(Inputs!$D$17=$A64,Inputs!$E$17=$A64)*($E64=0)*(F64=1)</f>
        <v>0</v>
      </c>
      <c r="L64" s="30">
        <f>1*OR(Inputs!$D$17=$A64,Inputs!$E$17=$A64)*($E64=0)*(G64=1)</f>
        <v>0</v>
      </c>
      <c r="M64" s="181">
        <f t="shared" ref="M64" si="55">MIN($B64,_xlfn.XLOOKUP($A64,agnos,tope_ref_ind)*UF)*12*I64*$N$14</f>
        <v>127383.40277481439</v>
      </c>
      <c r="N64" s="181">
        <f t="shared" ref="N64" si="56">MIN($B64,_xlfn.XLOOKUP($A64,agnos,tope_ref_ind)*UF)*12*J64*$N$14</f>
        <v>127383.40277481439</v>
      </c>
      <c r="O64" s="68">
        <f>Parámetros!$E51*12*I64*$P$14</f>
        <v>169631.98387756725</v>
      </c>
      <c r="P64" s="68">
        <f>Parámetros!$E51*12*J64*$P$14</f>
        <v>169631.98387756725</v>
      </c>
      <c r="Q64" s="70">
        <f t="shared" si="39"/>
        <v>636917.013874072</v>
      </c>
      <c r="R64" s="70">
        <f t="shared" si="40"/>
        <v>636917.013874072</v>
      </c>
      <c r="S64" s="68">
        <f t="shared" ref="S64:S95" si="57">MIN($B64,_xlfn.XLOOKUP($A64,agnos,tope_ref_ind)*UF) * (12*I64*$X$3 +  K64*_xlfn.XLOOKUP(n_mes_laguna,giros_sc,tr_sc_acum)*($X$3+$X$4))</f>
        <v>668762.86456777563</v>
      </c>
      <c r="T64" s="68">
        <f t="shared" ref="T64:T95" si="58">MIN($B64,_xlfn.XLOOKUP($A64,agnos,tope_ref_ind)*UF) * (12*J64*$X$3 +  L64*_xlfn.XLOOKUP(n_mes_laguna,giros_sc,tr_sc_acum)*($X$3+$X$4))</f>
        <v>668762.86456777563</v>
      </c>
      <c r="U64" s="33"/>
      <c r="V64" s="68">
        <f t="shared" si="51"/>
        <v>211468.6452798596</v>
      </c>
      <c r="W64" s="68">
        <f t="shared" si="52"/>
        <v>211468.6452798596</v>
      </c>
      <c r="X64" s="54">
        <f t="shared" si="33"/>
        <v>21426713.778945345</v>
      </c>
      <c r="Y64" s="54">
        <f t="shared" si="34"/>
        <v>21426713.778945345</v>
      </c>
      <c r="Z64" s="55">
        <f t="shared" si="53"/>
        <v>21719646.563134208</v>
      </c>
      <c r="AA64" s="55">
        <f t="shared" si="54"/>
        <v>21719646.563134208</v>
      </c>
      <c r="AB64" s="53">
        <f>D64*mmater*Parámetros!$G51*$X$5+AB63*(1+i_noc)</f>
        <v>0</v>
      </c>
      <c r="AC64" s="53">
        <f>E64*12*Parámetros!$F51*$X$5+AC63*(1+i_noc)</f>
        <v>0</v>
      </c>
      <c r="AD64" s="53"/>
      <c r="AE64" s="53"/>
      <c r="AF64" s="175"/>
      <c r="AG64" s="74">
        <f t="shared" si="30"/>
        <v>0</v>
      </c>
      <c r="AH64" s="52">
        <f t="shared" si="31"/>
        <v>0</v>
      </c>
      <c r="AI64" s="56">
        <f t="shared" si="41"/>
        <v>0</v>
      </c>
      <c r="AJ64" s="56">
        <f t="shared" si="42"/>
        <v>0</v>
      </c>
      <c r="AK64" s="56"/>
      <c r="AL64" s="56"/>
      <c r="AM64" s="56"/>
      <c r="AN64" s="56"/>
      <c r="AO64" s="56">
        <f t="shared" si="43"/>
        <v>0</v>
      </c>
      <c r="AP64" s="56">
        <f t="shared" si="44"/>
        <v>0</v>
      </c>
      <c r="AQ64" s="53">
        <f t="shared" si="45"/>
        <v>0</v>
      </c>
      <c r="AR64" s="53">
        <f t="shared" si="46"/>
        <v>0</v>
      </c>
      <c r="AS64" s="39"/>
      <c r="AT64" s="68">
        <f t="shared" si="47"/>
        <v>0</v>
      </c>
      <c r="AU64" s="68">
        <f t="shared" si="48"/>
        <v>0</v>
      </c>
      <c r="AV64" s="68">
        <f t="shared" si="49"/>
        <v>0</v>
      </c>
      <c r="AW64" s="68">
        <f t="shared" si="32"/>
        <v>0</v>
      </c>
      <c r="AX64" s="39"/>
      <c r="AY64" s="251">
        <v>0.02</v>
      </c>
    </row>
    <row r="65" spans="1:51" x14ac:dyDescent="0.25">
      <c r="A65" s="30">
        <v>2030</v>
      </c>
      <c r="B65" s="33">
        <f>w_uf*UF*Parámetros!C52</f>
        <v>926549.53526939359</v>
      </c>
      <c r="C65" s="30">
        <f t="shared" si="35"/>
        <v>51</v>
      </c>
      <c r="D65" s="30">
        <f>((A65=Inputs!$C$12)*(Inputs!$D$12) + (A65=Inputs!$C$13)*(Inputs!$D$13) + (A65=Inputs!$C$14)*(Inputs!$D$14)) *(A65 &gt;= a_afil)*(A65&gt;=2024)</f>
        <v>0</v>
      </c>
      <c r="E65" s="30">
        <f>MIN(1,(A65=Inputs!$C$19)*Inputs!$D$19+(A65=Inputs!$C$20)*Inputs!$D$20+(A65=Inputs!$C$21)*Inputs!$D$21*(A65 &gt;= a_afil))</f>
        <v>0</v>
      </c>
      <c r="F65" s="30">
        <f t="shared" si="28"/>
        <v>1</v>
      </c>
      <c r="G65" s="30">
        <f t="shared" si="29"/>
        <v>1</v>
      </c>
      <c r="H65" s="30">
        <v>0.90920412540435791</v>
      </c>
      <c r="I65" s="37">
        <f t="shared" si="36"/>
        <v>0.57999999999999996</v>
      </c>
      <c r="J65" s="37">
        <f t="shared" si="37"/>
        <v>0.57999999999999996</v>
      </c>
      <c r="K65" s="30">
        <f>1*OR(Inputs!$D$17=$A65,Inputs!$E$17=$A65)*($E65=0)*(F65=1)</f>
        <v>0</v>
      </c>
      <c r="L65" s="30">
        <f>1*OR(Inputs!$D$17=$A65,Inputs!$E$17=$A65)*($E65=0)*(G65=1)</f>
        <v>0</v>
      </c>
      <c r="M65" s="73">
        <f t="shared" ref="M65:M128" si="59">MIN($B65,_xlfn.XLOOKUP($A65,agnos,tope_ref_ind)*UF)*12*I65*$N$14</f>
        <v>128975.69530949958</v>
      </c>
      <c r="N65" s="73">
        <f t="shared" ref="N65:N128" si="60">MIN($B65,_xlfn.XLOOKUP($A65,agnos,tope_ref_ind)*UF)*12*J65*$N$14</f>
        <v>128975.69530949958</v>
      </c>
      <c r="O65" s="55">
        <f>Parámetros!$E52*12*I65*$P$14</f>
        <v>171752.38367603681</v>
      </c>
      <c r="P65" s="55">
        <f>Parámetros!$E52*12*J65*$P$14</f>
        <v>171752.38367603681</v>
      </c>
      <c r="Q65" s="70">
        <f t="shared" si="39"/>
        <v>644878.47654749791</v>
      </c>
      <c r="R65" s="70">
        <f t="shared" si="40"/>
        <v>644878.47654749791</v>
      </c>
      <c r="S65" s="68">
        <f t="shared" si="57"/>
        <v>677122.40037487284</v>
      </c>
      <c r="T65" s="68">
        <f t="shared" si="58"/>
        <v>677122.40037487284</v>
      </c>
      <c r="U65" s="33"/>
      <c r="V65" s="68">
        <f t="shared" si="51"/>
        <v>360145.15846435202</v>
      </c>
      <c r="W65" s="68">
        <f t="shared" si="52"/>
        <v>360145.15846435202</v>
      </c>
      <c r="X65" s="54">
        <f t="shared" si="33"/>
        <v>22795815.181221198</v>
      </c>
      <c r="Y65" s="54">
        <f t="shared" si="34"/>
        <v>22795815.181221198</v>
      </c>
      <c r="Z65" s="55">
        <f t="shared" si="53"/>
        <v>23102152.190953303</v>
      </c>
      <c r="AA65" s="55">
        <f t="shared" si="54"/>
        <v>23102152.190953303</v>
      </c>
      <c r="AB65" s="53">
        <f>D65*mmater*Parámetros!$G52*$X$5+AB64*(1+i_noc)</f>
        <v>0</v>
      </c>
      <c r="AC65" s="53">
        <f>E65*12*Parámetros!$F52*$X$5+AC64*(1+i_noc)</f>
        <v>0</v>
      </c>
      <c r="AD65" s="53"/>
      <c r="AE65" s="53"/>
      <c r="AF65" s="175"/>
      <c r="AG65" s="74">
        <f t="shared" si="30"/>
        <v>0</v>
      </c>
      <c r="AH65" s="52">
        <f t="shared" si="31"/>
        <v>0</v>
      </c>
      <c r="AI65" s="56">
        <f t="shared" si="41"/>
        <v>0</v>
      </c>
      <c r="AJ65" s="56">
        <f t="shared" si="42"/>
        <v>0</v>
      </c>
      <c r="AK65" s="56"/>
      <c r="AL65" s="56"/>
      <c r="AM65" s="56"/>
      <c r="AN65" s="56"/>
      <c r="AO65" s="56">
        <f t="shared" si="43"/>
        <v>0</v>
      </c>
      <c r="AP65" s="56">
        <f t="shared" si="44"/>
        <v>0</v>
      </c>
      <c r="AQ65" s="53">
        <f t="shared" si="45"/>
        <v>0</v>
      </c>
      <c r="AR65" s="53">
        <f t="shared" si="46"/>
        <v>0</v>
      </c>
      <c r="AS65" s="39"/>
      <c r="AT65" s="68">
        <f t="shared" si="47"/>
        <v>0</v>
      </c>
      <c r="AU65" s="68">
        <f t="shared" si="48"/>
        <v>0</v>
      </c>
      <c r="AV65" s="68">
        <f t="shared" si="49"/>
        <v>0</v>
      </c>
      <c r="AW65" s="68">
        <f t="shared" si="32"/>
        <v>0</v>
      </c>
      <c r="AX65" s="39"/>
      <c r="AY65" s="39"/>
    </row>
    <row r="66" spans="1:51" x14ac:dyDescent="0.25">
      <c r="A66" s="30">
        <v>2031</v>
      </c>
      <c r="B66" s="33">
        <f>w_uf*UF*Parámetros!C53</f>
        <v>938131.40446026088</v>
      </c>
      <c r="C66" s="30">
        <f t="shared" si="35"/>
        <v>52</v>
      </c>
      <c r="D66" s="30">
        <f>((A66=Inputs!$C$12)*(Inputs!$D$12) + (A66=Inputs!$C$13)*(Inputs!$D$13) + (A66=Inputs!$C$14)*(Inputs!$D$14)) *(A66 &gt;= a_afil)*(A66&gt;=2024)</f>
        <v>0</v>
      </c>
      <c r="E66" s="30">
        <f>MIN(1,(A66=Inputs!$C$19)*Inputs!$D$19+(A66=Inputs!$C$20)*Inputs!$D$20+(A66=Inputs!$C$21)*Inputs!$D$21*(A66 &gt;= a_afil))</f>
        <v>0</v>
      </c>
      <c r="F66" s="30">
        <f t="shared" si="28"/>
        <v>1</v>
      </c>
      <c r="G66" s="30">
        <f t="shared" si="29"/>
        <v>1</v>
      </c>
      <c r="H66" s="30">
        <v>0.65725642442703247</v>
      </c>
      <c r="I66" s="37">
        <f t="shared" si="36"/>
        <v>0.57999999999999996</v>
      </c>
      <c r="J66" s="37">
        <f t="shared" si="37"/>
        <v>0.57999999999999996</v>
      </c>
      <c r="K66" s="30">
        <f>1*OR(Inputs!$D$17=$A66,Inputs!$E$17=$A66)*($E66=0)*(F66=1)</f>
        <v>0</v>
      </c>
      <c r="L66" s="30">
        <f>1*OR(Inputs!$D$17=$A66,Inputs!$E$17=$A66)*($E66=0)*(G66=1)</f>
        <v>0</v>
      </c>
      <c r="M66" s="73">
        <f t="shared" si="59"/>
        <v>130587.89150086831</v>
      </c>
      <c r="N66" s="73">
        <f t="shared" si="60"/>
        <v>130587.89150086831</v>
      </c>
      <c r="O66" s="55">
        <f>Parámetros!$E53*12*I66*$P$14</f>
        <v>173899.28847198724</v>
      </c>
      <c r="P66" s="55">
        <f>Parámetros!$E53*12*J66*$P$14</f>
        <v>173899.28847198724</v>
      </c>
      <c r="Q66" s="70">
        <f t="shared" si="39"/>
        <v>652939.45750434161</v>
      </c>
      <c r="R66" s="70">
        <f t="shared" si="40"/>
        <v>652939.45750434161</v>
      </c>
      <c r="S66" s="68">
        <f t="shared" si="57"/>
        <v>685586.4303795587</v>
      </c>
      <c r="T66" s="68">
        <f t="shared" si="58"/>
        <v>685586.4303795587</v>
      </c>
      <c r="U66" s="33"/>
      <c r="V66" s="68">
        <f t="shared" si="51"/>
        <v>515422.80828968098</v>
      </c>
      <c r="W66" s="68">
        <f t="shared" si="52"/>
        <v>515422.80828968098</v>
      </c>
      <c r="X66" s="54">
        <f t="shared" si="33"/>
        <v>24219253.191850819</v>
      </c>
      <c r="Y66" s="54">
        <f t="shared" si="34"/>
        <v>24219253.191850819</v>
      </c>
      <c r="Z66" s="55">
        <f t="shared" si="53"/>
        <v>24538021.119070277</v>
      </c>
      <c r="AA66" s="55">
        <f t="shared" si="54"/>
        <v>24538021.119070277</v>
      </c>
      <c r="AB66" s="53">
        <f>D66*mmater*Parámetros!$G53*$X$5+AB65*(1+i_noc)</f>
        <v>0</v>
      </c>
      <c r="AC66" s="53">
        <f>E66*12*Parámetros!$F53*$X$5+AC65*(1+i_noc)</f>
        <v>0</v>
      </c>
      <c r="AD66" s="53"/>
      <c r="AE66" s="53"/>
      <c r="AF66" s="175"/>
      <c r="AG66" s="74">
        <f t="shared" si="30"/>
        <v>0</v>
      </c>
      <c r="AH66" s="52">
        <f t="shared" si="31"/>
        <v>0</v>
      </c>
      <c r="AI66" s="56">
        <f t="shared" si="41"/>
        <v>0</v>
      </c>
      <c r="AJ66" s="56">
        <f t="shared" si="42"/>
        <v>0</v>
      </c>
      <c r="AK66" s="56"/>
      <c r="AL66" s="56"/>
      <c r="AM66" s="56"/>
      <c r="AN66" s="56"/>
      <c r="AO66" s="56">
        <f t="shared" si="43"/>
        <v>0</v>
      </c>
      <c r="AP66" s="56">
        <f t="shared" si="44"/>
        <v>0</v>
      </c>
      <c r="AQ66" s="53">
        <f t="shared" si="45"/>
        <v>0</v>
      </c>
      <c r="AR66" s="53">
        <f t="shared" si="46"/>
        <v>0</v>
      </c>
      <c r="AS66" s="39"/>
      <c r="AT66" s="68">
        <f t="shared" si="47"/>
        <v>0</v>
      </c>
      <c r="AU66" s="68">
        <f t="shared" si="48"/>
        <v>0</v>
      </c>
      <c r="AV66" s="68">
        <f t="shared" si="49"/>
        <v>0</v>
      </c>
      <c r="AW66" s="68">
        <f t="shared" si="32"/>
        <v>0</v>
      </c>
      <c r="AX66" s="39"/>
      <c r="AY66" s="39"/>
    </row>
    <row r="67" spans="1:51" x14ac:dyDescent="0.25">
      <c r="A67" s="30">
        <v>2032</v>
      </c>
      <c r="B67" s="33">
        <f>w_uf*UF*Parámetros!C54</f>
        <v>949858.04701601411</v>
      </c>
      <c r="C67" s="30">
        <f t="shared" si="35"/>
        <v>53</v>
      </c>
      <c r="D67" s="30">
        <f>((A67=Inputs!$C$12)*(Inputs!$D$12) + (A67=Inputs!$C$13)*(Inputs!$D$13) + (A67=Inputs!$C$14)*(Inputs!$D$14)) *(A67 &gt;= a_afil)*(A67&gt;=2024)</f>
        <v>0</v>
      </c>
      <c r="E67" s="30">
        <f>MIN(1,(A67=Inputs!$C$19)*Inputs!$D$19+(A67=Inputs!$C$20)*Inputs!$D$20+(A67=Inputs!$C$21)*Inputs!$D$21*(A67 &gt;= a_afil))</f>
        <v>0</v>
      </c>
      <c r="F67" s="30">
        <f t="shared" si="28"/>
        <v>1</v>
      </c>
      <c r="G67" s="30">
        <f t="shared" si="29"/>
        <v>1</v>
      </c>
      <c r="H67" s="30">
        <v>0.44111466407775879</v>
      </c>
      <c r="I67" s="37">
        <f t="shared" si="36"/>
        <v>0.57999999999999996</v>
      </c>
      <c r="J67" s="37">
        <f t="shared" si="37"/>
        <v>0.57999999999999996</v>
      </c>
      <c r="K67" s="30">
        <f>1*OR(Inputs!$D$17=$A67,Inputs!$E$17=$A67)*($E67=0)*(F67=1)</f>
        <v>0</v>
      </c>
      <c r="L67" s="30">
        <f>1*OR(Inputs!$D$17=$A67,Inputs!$E$17=$A67)*($E67=0)*(G67=1)</f>
        <v>0</v>
      </c>
      <c r="M67" s="73">
        <f t="shared" si="59"/>
        <v>132220.24014462915</v>
      </c>
      <c r="N67" s="73">
        <f t="shared" si="60"/>
        <v>132220.24014462915</v>
      </c>
      <c r="O67" s="55">
        <f>Parámetros!$E54*12*I67*$P$14</f>
        <v>176073.02957788709</v>
      </c>
      <c r="P67" s="55">
        <f>Parámetros!$E54*12*J67*$P$14</f>
        <v>176073.02957788709</v>
      </c>
      <c r="Q67" s="70">
        <f t="shared" si="39"/>
        <v>661101.20072314574</v>
      </c>
      <c r="R67" s="70">
        <f t="shared" si="40"/>
        <v>661101.20072314574</v>
      </c>
      <c r="S67" s="68">
        <f t="shared" si="57"/>
        <v>694156.26075930311</v>
      </c>
      <c r="T67" s="68">
        <f t="shared" si="58"/>
        <v>694156.26075930311</v>
      </c>
      <c r="U67" s="33"/>
      <c r="V67" s="68">
        <f t="shared" si="51"/>
        <v>677538.13573749014</v>
      </c>
      <c r="W67" s="68">
        <f t="shared" si="52"/>
        <v>677538.13573749014</v>
      </c>
      <c r="X67" s="54">
        <f t="shared" si="33"/>
        <v>25698965.150458522</v>
      </c>
      <c r="Y67" s="54">
        <f t="shared" si="34"/>
        <v>25698965.150458522</v>
      </c>
      <c r="Z67" s="55">
        <f t="shared" si="53"/>
        <v>26029092.21367605</v>
      </c>
      <c r="AA67" s="55">
        <f t="shared" si="54"/>
        <v>26029092.21367605</v>
      </c>
      <c r="AB67" s="53">
        <f>D67*mmater*Parámetros!$G54*$X$5+AB66*(1+i_noc)</f>
        <v>0</v>
      </c>
      <c r="AC67" s="53">
        <f>E67*12*Parámetros!$F54*$X$5+AC66*(1+i_noc)</f>
        <v>0</v>
      </c>
      <c r="AD67" s="53"/>
      <c r="AE67" s="53"/>
      <c r="AF67" s="175"/>
      <c r="AG67" s="74">
        <f t="shared" si="30"/>
        <v>0</v>
      </c>
      <c r="AH67" s="52">
        <f t="shared" si="31"/>
        <v>0</v>
      </c>
      <c r="AI67" s="56">
        <f t="shared" si="41"/>
        <v>0</v>
      </c>
      <c r="AJ67" s="56">
        <f t="shared" si="42"/>
        <v>0</v>
      </c>
      <c r="AK67" s="56"/>
      <c r="AL67" s="56"/>
      <c r="AM67" s="56"/>
      <c r="AN67" s="56"/>
      <c r="AO67" s="56">
        <f t="shared" si="43"/>
        <v>0</v>
      </c>
      <c r="AP67" s="56">
        <f t="shared" si="44"/>
        <v>0</v>
      </c>
      <c r="AQ67" s="53">
        <f t="shared" si="45"/>
        <v>0</v>
      </c>
      <c r="AR67" s="53">
        <f t="shared" si="46"/>
        <v>0</v>
      </c>
      <c r="AS67" s="39"/>
      <c r="AT67" s="68">
        <f t="shared" si="47"/>
        <v>0</v>
      </c>
      <c r="AU67" s="68">
        <f t="shared" si="48"/>
        <v>0</v>
      </c>
      <c r="AV67" s="68">
        <f t="shared" si="49"/>
        <v>0</v>
      </c>
      <c r="AW67" s="68">
        <f t="shared" si="32"/>
        <v>0</v>
      </c>
      <c r="AX67" s="39"/>
      <c r="AY67" s="39"/>
    </row>
    <row r="68" spans="1:51" x14ac:dyDescent="0.25">
      <c r="A68" s="30">
        <v>2033</v>
      </c>
      <c r="B68" s="33">
        <f>w_uf*UF*Parámetros!C55</f>
        <v>961731.27260371426</v>
      </c>
      <c r="C68" s="30">
        <f t="shared" si="35"/>
        <v>54</v>
      </c>
      <c r="D68" s="30">
        <f>((A68=Inputs!$C$12)*(Inputs!$D$12) + (A68=Inputs!$C$13)*(Inputs!$D$13) + (A68=Inputs!$C$14)*(Inputs!$D$14)) *(A68 &gt;= a_afil)*(A68&gt;=2024)</f>
        <v>0</v>
      </c>
      <c r="E68" s="30">
        <f>MIN(1,(A68=Inputs!$C$19)*Inputs!$D$19+(A68=Inputs!$C$20)*Inputs!$D$20+(A68=Inputs!$C$21)*Inputs!$D$21*(A68 &gt;= a_afil))</f>
        <v>1</v>
      </c>
      <c r="F68" s="30">
        <f t="shared" si="28"/>
        <v>1</v>
      </c>
      <c r="G68" s="30">
        <f t="shared" si="29"/>
        <v>1</v>
      </c>
      <c r="H68" s="30">
        <v>0.69299453496932983</v>
      </c>
      <c r="I68" s="37">
        <f t="shared" si="36"/>
        <v>0.57999999999999996</v>
      </c>
      <c r="J68" s="37">
        <f t="shared" si="37"/>
        <v>0.57999999999999996</v>
      </c>
      <c r="K68" s="30">
        <f>1*OR(Inputs!$D$17=$A68,Inputs!$E$17=$A68)*($E68=0)*(F68=1)</f>
        <v>0</v>
      </c>
      <c r="L68" s="30">
        <f>1*OR(Inputs!$D$17=$A68,Inputs!$E$17=$A68)*($E68=0)*(G68=1)</f>
        <v>0</v>
      </c>
      <c r="M68" s="73">
        <f t="shared" si="59"/>
        <v>133872.99314643702</v>
      </c>
      <c r="N68" s="73">
        <f t="shared" si="60"/>
        <v>133872.99314643702</v>
      </c>
      <c r="O68" s="55">
        <f>Parámetros!$E55*12*I68*$P$14</f>
        <v>178273.94244761069</v>
      </c>
      <c r="P68" s="55">
        <f>Parámetros!$E55*12*J68*$P$14</f>
        <v>178273.94244761069</v>
      </c>
      <c r="Q68" s="70">
        <f t="shared" si="39"/>
        <v>669364.96573218517</v>
      </c>
      <c r="R68" s="70">
        <f t="shared" si="40"/>
        <v>669364.96573218517</v>
      </c>
      <c r="S68" s="68">
        <f t="shared" si="57"/>
        <v>702833.21401879436</v>
      </c>
      <c r="T68" s="68">
        <f t="shared" si="58"/>
        <v>702833.21401879436</v>
      </c>
      <c r="U68" s="33"/>
      <c r="V68" s="68">
        <f t="shared" si="51"/>
        <v>846735.64083855797</v>
      </c>
      <c r="W68" s="68">
        <f t="shared" si="52"/>
        <v>846735.64083855797</v>
      </c>
      <c r="X68" s="54">
        <f t="shared" si="33"/>
        <v>27236955.138276204</v>
      </c>
      <c r="Y68" s="54">
        <f t="shared" si="34"/>
        <v>27236955.138276204</v>
      </c>
      <c r="Z68" s="55">
        <f t="shared" si="53"/>
        <v>27577265.383838061</v>
      </c>
      <c r="AA68" s="55">
        <f t="shared" si="54"/>
        <v>27577265.383838061</v>
      </c>
      <c r="AB68" s="53">
        <f>D68*mmater*Parámetros!$G55*$X$5+AB67*(1+i_noc)</f>
        <v>0</v>
      </c>
      <c r="AC68" s="53">
        <f>E68*12*Parámetros!$F55*$X$5+AC67*(1+i_noc)</f>
        <v>461464.85723464232</v>
      </c>
      <c r="AD68" s="53"/>
      <c r="AE68" s="53"/>
      <c r="AF68" s="175"/>
      <c r="AG68" s="74">
        <f t="shared" si="30"/>
        <v>0</v>
      </c>
      <c r="AH68" s="52">
        <f t="shared" si="31"/>
        <v>0</v>
      </c>
      <c r="AI68" s="56">
        <f t="shared" si="41"/>
        <v>0</v>
      </c>
      <c r="AJ68" s="56">
        <f t="shared" si="42"/>
        <v>0</v>
      </c>
      <c r="AK68" s="56"/>
      <c r="AL68" s="56"/>
      <c r="AM68" s="56"/>
      <c r="AN68" s="56"/>
      <c r="AO68" s="56">
        <f t="shared" si="43"/>
        <v>0</v>
      </c>
      <c r="AP68" s="56">
        <f t="shared" si="44"/>
        <v>0</v>
      </c>
      <c r="AQ68" s="53">
        <f t="shared" si="45"/>
        <v>0</v>
      </c>
      <c r="AR68" s="53">
        <f t="shared" si="46"/>
        <v>0</v>
      </c>
      <c r="AS68" s="39"/>
      <c r="AT68" s="68">
        <f t="shared" si="47"/>
        <v>0</v>
      </c>
      <c r="AU68" s="68">
        <f t="shared" si="48"/>
        <v>0</v>
      </c>
      <c r="AV68" s="68">
        <f t="shared" si="49"/>
        <v>0</v>
      </c>
      <c r="AW68" s="68">
        <f t="shared" si="32"/>
        <v>0</v>
      </c>
      <c r="AX68" s="39"/>
      <c r="AY68" s="39"/>
    </row>
    <row r="69" spans="1:51" x14ac:dyDescent="0.25">
      <c r="A69" s="30">
        <v>2034</v>
      </c>
      <c r="B69" s="33">
        <f>w_uf*UF*Parámetros!C56</f>
        <v>973752.91351126065</v>
      </c>
      <c r="C69" s="30">
        <f t="shared" si="35"/>
        <v>55</v>
      </c>
      <c r="D69" s="30">
        <f>((A69=Inputs!$C$12)*(Inputs!$D$12) + (A69=Inputs!$C$13)*(Inputs!$D$13) + (A69=Inputs!$C$14)*(Inputs!$D$14)) *(A69 &gt;= a_afil)*(A69&gt;=2024)</f>
        <v>0</v>
      </c>
      <c r="E69" s="30">
        <f>MIN(1,(A69=Inputs!$C$19)*Inputs!$D$19+(A69=Inputs!$C$20)*Inputs!$D$20+(A69=Inputs!$C$21)*Inputs!$D$21*(A69 &gt;= a_afil))</f>
        <v>1</v>
      </c>
      <c r="F69" s="30">
        <f t="shared" si="28"/>
        <v>1</v>
      </c>
      <c r="G69" s="30">
        <f t="shared" si="29"/>
        <v>1</v>
      </c>
      <c r="H69" s="30">
        <v>6.4491152763366699E-2</v>
      </c>
      <c r="I69" s="37">
        <f t="shared" si="36"/>
        <v>0.57999999999999996</v>
      </c>
      <c r="J69" s="37">
        <f t="shared" si="37"/>
        <v>0.57999999999999996</v>
      </c>
      <c r="K69" s="30">
        <f>1*OR(Inputs!$D$17=$A69,Inputs!$E$17=$A69)*($E69=0)*(F69=1)</f>
        <v>0</v>
      </c>
      <c r="L69" s="30">
        <f>1*OR(Inputs!$D$17=$A69,Inputs!$E$17=$A69)*($E69=0)*(G69=1)</f>
        <v>0</v>
      </c>
      <c r="M69" s="73">
        <f t="shared" si="59"/>
        <v>135546.40556076748</v>
      </c>
      <c r="N69" s="73">
        <f t="shared" si="60"/>
        <v>135546.40556076748</v>
      </c>
      <c r="O69" s="55">
        <f>Parámetros!$E56*12*I69*$P$14</f>
        <v>180502.36672820579</v>
      </c>
      <c r="P69" s="55">
        <f>Parámetros!$E56*12*J69*$P$14</f>
        <v>180502.36672820579</v>
      </c>
      <c r="Q69" s="70">
        <f t="shared" si="39"/>
        <v>677732.02780383744</v>
      </c>
      <c r="R69" s="70">
        <f t="shared" si="40"/>
        <v>677732.02780383744</v>
      </c>
      <c r="S69" s="68">
        <f t="shared" si="57"/>
        <v>711618.62919402926</v>
      </c>
      <c r="T69" s="68">
        <f t="shared" si="58"/>
        <v>711618.62919402926</v>
      </c>
      <c r="U69" s="33"/>
      <c r="V69" s="68">
        <f t="shared" si="51"/>
        <v>1023268.0446188617</v>
      </c>
      <c r="W69" s="68">
        <f t="shared" si="52"/>
        <v>1023268.0446188617</v>
      </c>
      <c r="X69" s="54">
        <f t="shared" si="33"/>
        <v>28835296.249753781</v>
      </c>
      <c r="Y69" s="54">
        <f t="shared" si="34"/>
        <v>28835296.249753781</v>
      </c>
      <c r="Z69" s="55">
        <f t="shared" si="53"/>
        <v>29184503.580504943</v>
      </c>
      <c r="AA69" s="55">
        <f t="shared" si="54"/>
        <v>29184503.580504943</v>
      </c>
      <c r="AB69" s="53">
        <f>D69*mmater*Parámetros!$G56*$X$5+AB68*(1+i_noc)</f>
        <v>0</v>
      </c>
      <c r="AC69" s="53">
        <f>E69*12*Parámetros!$F56*$X$5+AC68*(1+i_noc)</f>
        <v>937927.32232941047</v>
      </c>
      <c r="AD69" s="53"/>
      <c r="AE69" s="53"/>
      <c r="AF69" s="175"/>
      <c r="AG69" s="74">
        <f t="shared" si="30"/>
        <v>0</v>
      </c>
      <c r="AH69" s="52">
        <f t="shared" si="31"/>
        <v>0</v>
      </c>
      <c r="AI69" s="56">
        <f t="shared" si="41"/>
        <v>0</v>
      </c>
      <c r="AJ69" s="56">
        <f t="shared" si="42"/>
        <v>0</v>
      </c>
      <c r="AK69" s="56"/>
      <c r="AL69" s="56"/>
      <c r="AM69" s="56"/>
      <c r="AN69" s="56"/>
      <c r="AO69" s="56">
        <f t="shared" si="43"/>
        <v>0</v>
      </c>
      <c r="AP69" s="56">
        <f t="shared" si="44"/>
        <v>0</v>
      </c>
      <c r="AQ69" s="53">
        <f t="shared" si="45"/>
        <v>0</v>
      </c>
      <c r="AR69" s="53">
        <f t="shared" si="46"/>
        <v>0</v>
      </c>
      <c r="AS69" s="39"/>
      <c r="AT69" s="68">
        <f t="shared" si="47"/>
        <v>0</v>
      </c>
      <c r="AU69" s="68">
        <f t="shared" si="48"/>
        <v>0</v>
      </c>
      <c r="AV69" s="68">
        <f t="shared" si="49"/>
        <v>0</v>
      </c>
      <c r="AW69" s="68">
        <f t="shared" si="32"/>
        <v>0</v>
      </c>
      <c r="AX69" s="39"/>
      <c r="AY69" s="39"/>
    </row>
    <row r="70" spans="1:51" x14ac:dyDescent="0.25">
      <c r="A70" s="30">
        <v>2035</v>
      </c>
      <c r="B70" s="33">
        <f>w_uf*UF*Parámetros!C57</f>
        <v>985924.82493015134</v>
      </c>
      <c r="C70" s="30">
        <f t="shared" si="35"/>
        <v>56</v>
      </c>
      <c r="D70" s="30">
        <f>((A70=Inputs!$C$12)*(Inputs!$D$12) + (A70=Inputs!$C$13)*(Inputs!$D$13) + (A70=Inputs!$C$14)*(Inputs!$D$14)) *(A70 &gt;= a_afil)*(A70&gt;=2024)</f>
        <v>0</v>
      </c>
      <c r="E70" s="30">
        <f>MIN(1,(A70=Inputs!$C$19)*Inputs!$D$19+(A70=Inputs!$C$20)*Inputs!$D$20+(A70=Inputs!$C$21)*Inputs!$D$21*(A70 &gt;= a_afil))</f>
        <v>0</v>
      </c>
      <c r="F70" s="30">
        <f t="shared" si="28"/>
        <v>1</v>
      </c>
      <c r="G70" s="30">
        <f t="shared" si="29"/>
        <v>1</v>
      </c>
      <c r="H70" s="30">
        <v>0.7560926079750061</v>
      </c>
      <c r="I70" s="37">
        <f t="shared" si="36"/>
        <v>0.57999999999999996</v>
      </c>
      <c r="J70" s="37">
        <f t="shared" si="37"/>
        <v>0.57999999999999996</v>
      </c>
      <c r="K70" s="30">
        <f>1*OR(Inputs!$D$17=$A70,Inputs!$E$17=$A70)*($E70=0)*(F70=1)</f>
        <v>0</v>
      </c>
      <c r="L70" s="30">
        <f>1*OR(Inputs!$D$17=$A70,Inputs!$E$17=$A70)*($E70=0)*(G70=1)</f>
        <v>0</v>
      </c>
      <c r="M70" s="73">
        <f t="shared" si="59"/>
        <v>137240.73563027705</v>
      </c>
      <c r="N70" s="73">
        <f t="shared" si="60"/>
        <v>137240.73563027705</v>
      </c>
      <c r="O70" s="55">
        <f>Parámetros!$E57*12*I70*$P$14</f>
        <v>182758.64631230835</v>
      </c>
      <c r="P70" s="55">
        <f>Parámetros!$E57*12*J70*$P$14</f>
        <v>182758.64631230835</v>
      </c>
      <c r="Q70" s="70">
        <f t="shared" si="39"/>
        <v>686203.67815138539</v>
      </c>
      <c r="R70" s="70">
        <f t="shared" si="40"/>
        <v>686203.67815138539</v>
      </c>
      <c r="S70" s="68">
        <f t="shared" si="57"/>
        <v>720513.86205895466</v>
      </c>
      <c r="T70" s="68">
        <f t="shared" si="58"/>
        <v>720513.86205895466</v>
      </c>
      <c r="U70" s="33"/>
      <c r="V70" s="68">
        <f t="shared" si="51"/>
        <v>1207396.5595960713</v>
      </c>
      <c r="W70" s="68">
        <f t="shared" si="52"/>
        <v>1207396.5595960713</v>
      </c>
      <c r="X70" s="54">
        <f t="shared" si="33"/>
        <v>30496132.941146843</v>
      </c>
      <c r="Y70" s="54">
        <f t="shared" si="34"/>
        <v>30496132.941146843</v>
      </c>
      <c r="Z70" s="55">
        <f t="shared" si="53"/>
        <v>30852834.860639013</v>
      </c>
      <c r="AA70" s="55">
        <f t="shared" si="54"/>
        <v>30852834.860639013</v>
      </c>
      <c r="AB70" s="53">
        <f>D70*mmater*Parámetros!$G57*$X$5+AB69*(1+i_noc)</f>
        <v>0</v>
      </c>
      <c r="AC70" s="53">
        <f>E70*12*Parámetros!$F57*$X$5+AC69*(1+i_noc)</f>
        <v>956685.86877599871</v>
      </c>
      <c r="AD70" s="53"/>
      <c r="AE70" s="53"/>
      <c r="AF70" s="175"/>
      <c r="AG70" s="74">
        <f t="shared" si="30"/>
        <v>0</v>
      </c>
      <c r="AH70" s="52">
        <f t="shared" si="31"/>
        <v>0</v>
      </c>
      <c r="AI70" s="56">
        <f t="shared" si="41"/>
        <v>0</v>
      </c>
      <c r="AJ70" s="56">
        <f t="shared" si="42"/>
        <v>0</v>
      </c>
      <c r="AK70" s="56"/>
      <c r="AL70" s="56"/>
      <c r="AM70" s="56"/>
      <c r="AN70" s="56"/>
      <c r="AO70" s="56">
        <f t="shared" si="43"/>
        <v>0</v>
      </c>
      <c r="AP70" s="56">
        <f t="shared" si="44"/>
        <v>0</v>
      </c>
      <c r="AQ70" s="53">
        <f t="shared" si="45"/>
        <v>0</v>
      </c>
      <c r="AR70" s="53">
        <f t="shared" si="46"/>
        <v>0</v>
      </c>
      <c r="AS70" s="39"/>
      <c r="AT70" s="68">
        <f t="shared" si="47"/>
        <v>0</v>
      </c>
      <c r="AU70" s="68">
        <f t="shared" si="48"/>
        <v>0</v>
      </c>
      <c r="AV70" s="68">
        <f t="shared" si="49"/>
        <v>0</v>
      </c>
      <c r="AW70" s="68">
        <f t="shared" si="32"/>
        <v>0</v>
      </c>
      <c r="AX70" s="39"/>
      <c r="AY70" s="39"/>
    </row>
    <row r="71" spans="1:51" x14ac:dyDescent="0.25">
      <c r="A71" s="30">
        <v>2036</v>
      </c>
      <c r="B71" s="33">
        <f>w_uf*UF*Parámetros!C58</f>
        <v>998248.88524177822</v>
      </c>
      <c r="C71" s="30">
        <f t="shared" si="35"/>
        <v>57</v>
      </c>
      <c r="D71" s="30">
        <f>((A71=Inputs!$C$12)*(Inputs!$D$12) + (A71=Inputs!$C$13)*(Inputs!$D$13) + (A71=Inputs!$C$14)*(Inputs!$D$14)) *(A71 &gt;= a_afil)*(A71&gt;=2024)</f>
        <v>0</v>
      </c>
      <c r="E71" s="30">
        <f>MIN(1,(A71=Inputs!$C$19)*Inputs!$D$19+(A71=Inputs!$C$20)*Inputs!$D$20+(A71=Inputs!$C$21)*Inputs!$D$21*(A71 &gt;= a_afil))</f>
        <v>0</v>
      </c>
      <c r="F71" s="30">
        <f t="shared" si="28"/>
        <v>1</v>
      </c>
      <c r="G71" s="30">
        <f t="shared" si="29"/>
        <v>1</v>
      </c>
      <c r="H71" s="30">
        <v>0.70051431655883789</v>
      </c>
      <c r="I71" s="37">
        <f t="shared" si="36"/>
        <v>0.57999999999999996</v>
      </c>
      <c r="J71" s="37">
        <f t="shared" si="37"/>
        <v>0.57999999999999996</v>
      </c>
      <c r="K71" s="30">
        <f>1*OR(Inputs!$D$17=$A71,Inputs!$E$17=$A71)*($E71=0)*(F71=1)</f>
        <v>0</v>
      </c>
      <c r="L71" s="30">
        <f>1*OR(Inputs!$D$17=$A71,Inputs!$E$17=$A71)*($E71=0)*(G71=1)</f>
        <v>0</v>
      </c>
      <c r="M71" s="73">
        <f t="shared" si="59"/>
        <v>138956.24482565554</v>
      </c>
      <c r="N71" s="73">
        <f t="shared" si="60"/>
        <v>138956.24482565554</v>
      </c>
      <c r="O71" s="55">
        <f>Parámetros!$E58*12*I71*$P$14</f>
        <v>185043.12939121225</v>
      </c>
      <c r="P71" s="55">
        <f>Parámetros!$E58*12*J71*$P$14</f>
        <v>185043.12939121225</v>
      </c>
      <c r="Q71" s="70">
        <f t="shared" si="39"/>
        <v>694781.22412827762</v>
      </c>
      <c r="R71" s="70">
        <f t="shared" si="40"/>
        <v>694781.22412827762</v>
      </c>
      <c r="S71" s="68">
        <f t="shared" si="57"/>
        <v>729520.28533469152</v>
      </c>
      <c r="T71" s="68">
        <f t="shared" si="58"/>
        <v>729520.28533469152</v>
      </c>
      <c r="U71" s="33"/>
      <c r="V71" s="68">
        <f t="shared" si="51"/>
        <v>1399391.1691047039</v>
      </c>
      <c r="W71" s="68">
        <f t="shared" si="52"/>
        <v>1399391.1691047039</v>
      </c>
      <c r="X71" s="54">
        <f t="shared" si="33"/>
        <v>32221683.458685882</v>
      </c>
      <c r="Y71" s="54">
        <f t="shared" si="34"/>
        <v>32221683.458685882</v>
      </c>
      <c r="Z71" s="55">
        <f t="shared" si="53"/>
        <v>32584354.51859428</v>
      </c>
      <c r="AA71" s="55">
        <f t="shared" si="54"/>
        <v>32584354.51859428</v>
      </c>
      <c r="AB71" s="53">
        <f>D71*mmater*Parámetros!$G58*$X$5+AB70*(1+i_noc)</f>
        <v>0</v>
      </c>
      <c r="AC71" s="53">
        <f>E71*12*Parámetros!$F58*$X$5+AC70*(1+i_noc)</f>
        <v>975819.58615151874</v>
      </c>
      <c r="AD71" s="53"/>
      <c r="AE71" s="53"/>
      <c r="AF71" s="175"/>
      <c r="AG71" s="74">
        <f t="shared" si="30"/>
        <v>0</v>
      </c>
      <c r="AH71" s="52">
        <f t="shared" si="31"/>
        <v>0</v>
      </c>
      <c r="AI71" s="56">
        <f t="shared" si="41"/>
        <v>0</v>
      </c>
      <c r="AJ71" s="56">
        <f t="shared" si="42"/>
        <v>0</v>
      </c>
      <c r="AK71" s="56"/>
      <c r="AL71" s="56"/>
      <c r="AM71" s="56"/>
      <c r="AN71" s="56"/>
      <c r="AO71" s="56">
        <f t="shared" si="43"/>
        <v>0</v>
      </c>
      <c r="AP71" s="56">
        <f t="shared" si="44"/>
        <v>0</v>
      </c>
      <c r="AQ71" s="53">
        <f t="shared" si="45"/>
        <v>0</v>
      </c>
      <c r="AR71" s="53">
        <f t="shared" si="46"/>
        <v>0</v>
      </c>
      <c r="AS71" s="39"/>
      <c r="AT71" s="68">
        <f t="shared" si="47"/>
        <v>0</v>
      </c>
      <c r="AU71" s="68">
        <f t="shared" si="48"/>
        <v>0</v>
      </c>
      <c r="AV71" s="68">
        <f t="shared" si="49"/>
        <v>0</v>
      </c>
      <c r="AW71" s="68">
        <f t="shared" si="32"/>
        <v>0</v>
      </c>
      <c r="AX71" s="39"/>
      <c r="AY71" s="39"/>
    </row>
    <row r="72" spans="1:51" x14ac:dyDescent="0.25">
      <c r="A72" s="30">
        <v>2037</v>
      </c>
      <c r="B72" s="33">
        <f>w_uf*UF*Parámetros!C59</f>
        <v>1010726.9963073004</v>
      </c>
      <c r="C72" s="30">
        <f t="shared" si="35"/>
        <v>58</v>
      </c>
      <c r="D72" s="30">
        <f>((A72=Inputs!$C$12)*(Inputs!$D$12) + (A72=Inputs!$C$13)*(Inputs!$D$13) + (A72=Inputs!$C$14)*(Inputs!$D$14)) *(A72 &gt;= a_afil)*(A72&gt;=2024)</f>
        <v>0</v>
      </c>
      <c r="E72" s="30">
        <f>MIN(1,(A72=Inputs!$C$19)*Inputs!$D$19+(A72=Inputs!$C$20)*Inputs!$D$20+(A72=Inputs!$C$21)*Inputs!$D$21*(A72 &gt;= a_afil))</f>
        <v>0</v>
      </c>
      <c r="F72" s="30">
        <f t="shared" si="28"/>
        <v>1</v>
      </c>
      <c r="G72" s="30">
        <f t="shared" si="29"/>
        <v>1</v>
      </c>
      <c r="H72" s="30">
        <v>0.49707096815109253</v>
      </c>
      <c r="I72" s="37">
        <f t="shared" si="36"/>
        <v>0.57999999999999996</v>
      </c>
      <c r="J72" s="37">
        <f t="shared" si="37"/>
        <v>0.57999999999999996</v>
      </c>
      <c r="K72" s="30">
        <f>1*OR(Inputs!$D$17=$A72,Inputs!$E$17=$A72)*($E72=0)*(F72=1)</f>
        <v>0</v>
      </c>
      <c r="L72" s="30">
        <f>1*OR(Inputs!$D$17=$A72,Inputs!$E$17=$A72)*($E72=0)*(G72=1)</f>
        <v>0</v>
      </c>
      <c r="M72" s="73">
        <f t="shared" si="59"/>
        <v>140693.1978859762</v>
      </c>
      <c r="N72" s="73">
        <f t="shared" si="60"/>
        <v>140693.1978859762</v>
      </c>
      <c r="O72" s="55">
        <f>Parámetros!$E59*12*I72*$P$14</f>
        <v>187356.16850860234</v>
      </c>
      <c r="P72" s="55">
        <f>Parámetros!$E59*12*J72*$P$14</f>
        <v>187356.16850860234</v>
      </c>
      <c r="Q72" s="70">
        <f t="shared" si="39"/>
        <v>703465.9894298811</v>
      </c>
      <c r="R72" s="70">
        <f t="shared" si="40"/>
        <v>703465.9894298811</v>
      </c>
      <c r="S72" s="68">
        <f t="shared" si="57"/>
        <v>738639.28890137514</v>
      </c>
      <c r="T72" s="68">
        <f t="shared" si="58"/>
        <v>738639.28890137514</v>
      </c>
      <c r="U72" s="33"/>
      <c r="V72" s="68">
        <f t="shared" si="51"/>
        <v>1599530.9157372131</v>
      </c>
      <c r="W72" s="68">
        <f t="shared" si="52"/>
        <v>1599530.9157372131</v>
      </c>
      <c r="X72" s="54">
        <f t="shared" si="33"/>
        <v>34014242.349019349</v>
      </c>
      <c r="Y72" s="54">
        <f t="shared" si="34"/>
        <v>34014242.349019349</v>
      </c>
      <c r="Z72" s="55">
        <f t="shared" si="53"/>
        <v>34381227.286926456</v>
      </c>
      <c r="AA72" s="55">
        <f t="shared" si="54"/>
        <v>34381227.286926456</v>
      </c>
      <c r="AB72" s="53">
        <f>D72*mmater*Parámetros!$G59*$X$5+AB71*(1+i_noc)</f>
        <v>0</v>
      </c>
      <c r="AC72" s="53">
        <f>E72*12*Parámetros!$F59*$X$5+AC71*(1+i_noc)</f>
        <v>995335.97787454911</v>
      </c>
      <c r="AD72" s="53"/>
      <c r="AE72" s="53"/>
      <c r="AF72" s="175"/>
      <c r="AG72" s="74">
        <f t="shared" si="30"/>
        <v>0</v>
      </c>
      <c r="AH72" s="52">
        <f t="shared" si="31"/>
        <v>0</v>
      </c>
      <c r="AI72" s="56">
        <f t="shared" si="41"/>
        <v>0</v>
      </c>
      <c r="AJ72" s="56">
        <f t="shared" si="42"/>
        <v>0</v>
      </c>
      <c r="AK72" s="56"/>
      <c r="AL72" s="56"/>
      <c r="AM72" s="56"/>
      <c r="AN72" s="56"/>
      <c r="AO72" s="56">
        <f t="shared" si="43"/>
        <v>0</v>
      </c>
      <c r="AP72" s="56">
        <f t="shared" si="44"/>
        <v>0</v>
      </c>
      <c r="AQ72" s="53">
        <f t="shared" si="45"/>
        <v>0</v>
      </c>
      <c r="AR72" s="53">
        <f t="shared" si="46"/>
        <v>0</v>
      </c>
      <c r="AS72" s="39"/>
      <c r="AT72" s="68">
        <f t="shared" si="47"/>
        <v>0</v>
      </c>
      <c r="AU72" s="68">
        <f t="shared" si="48"/>
        <v>0</v>
      </c>
      <c r="AV72" s="68">
        <f t="shared" si="49"/>
        <v>0</v>
      </c>
      <c r="AW72" s="68">
        <f t="shared" si="32"/>
        <v>0</v>
      </c>
      <c r="AX72" s="39"/>
      <c r="AY72" s="39"/>
    </row>
    <row r="73" spans="1:51" x14ac:dyDescent="0.25">
      <c r="A73" s="30">
        <v>2038</v>
      </c>
      <c r="B73" s="33">
        <f>w_uf*UF*Parámetros!C60</f>
        <v>1023361.0837611416</v>
      </c>
      <c r="C73" s="30">
        <f t="shared" si="35"/>
        <v>59</v>
      </c>
      <c r="D73" s="30">
        <f>((A73=Inputs!$C$12)*(Inputs!$D$12) + (A73=Inputs!$C$13)*(Inputs!$D$13) + (A73=Inputs!$C$14)*(Inputs!$D$14)) *(A73 &gt;= a_afil)*(A73&gt;=2024)</f>
        <v>0</v>
      </c>
      <c r="E73" s="30">
        <f>MIN(1,(A73=Inputs!$C$19)*Inputs!$D$19+(A73=Inputs!$C$20)*Inputs!$D$20+(A73=Inputs!$C$21)*Inputs!$D$21*(A73 &gt;= a_afil))</f>
        <v>0</v>
      </c>
      <c r="F73" s="30">
        <f t="shared" si="28"/>
        <v>1</v>
      </c>
      <c r="G73" s="30">
        <f t="shared" si="29"/>
        <v>1</v>
      </c>
      <c r="H73" s="30">
        <v>0.15543568134307861</v>
      </c>
      <c r="I73" s="37">
        <f t="shared" si="36"/>
        <v>0.57999999999999996</v>
      </c>
      <c r="J73" s="37">
        <f t="shared" si="37"/>
        <v>0.57999999999999996</v>
      </c>
      <c r="K73" s="30">
        <f>1*OR(Inputs!$D$17=$A73,Inputs!$E$17=$A73)*($E73=0)*(F73=1)</f>
        <v>0</v>
      </c>
      <c r="L73" s="30">
        <f>1*OR(Inputs!$D$17=$A73,Inputs!$E$17=$A73)*($E73=0)*(G73=1)</f>
        <v>0</v>
      </c>
      <c r="M73" s="73">
        <f t="shared" si="59"/>
        <v>142451.86285955089</v>
      </c>
      <c r="N73" s="73">
        <f t="shared" si="60"/>
        <v>142451.86285955089</v>
      </c>
      <c r="O73" s="55">
        <f>Parámetros!$E60*12*I73*$P$14</f>
        <v>189698.12061495989</v>
      </c>
      <c r="P73" s="55">
        <f>Parámetros!$E60*12*J73*$P$14</f>
        <v>189698.12061495989</v>
      </c>
      <c r="Q73" s="70">
        <f t="shared" si="39"/>
        <v>712259.31429775455</v>
      </c>
      <c r="R73" s="70">
        <f t="shared" si="40"/>
        <v>712259.31429775455</v>
      </c>
      <c r="S73" s="68">
        <f t="shared" si="57"/>
        <v>747872.28001264227</v>
      </c>
      <c r="T73" s="68">
        <f t="shared" si="58"/>
        <v>747872.28001264227</v>
      </c>
      <c r="U73" s="33"/>
      <c r="V73" s="68">
        <f t="shared" si="51"/>
        <v>1808104.1991976225</v>
      </c>
      <c r="W73" s="68">
        <f t="shared" si="52"/>
        <v>1808104.1991976225</v>
      </c>
      <c r="X73" s="54">
        <f t="shared" si="33"/>
        <v>35876183.054713964</v>
      </c>
      <c r="Y73" s="54">
        <f t="shared" si="34"/>
        <v>35876183.054713964</v>
      </c>
      <c r="Z73" s="55">
        <f t="shared" si="53"/>
        <v>36245689.608892612</v>
      </c>
      <c r="AA73" s="55">
        <f t="shared" si="54"/>
        <v>36245689.608892612</v>
      </c>
      <c r="AB73" s="53">
        <f>D73*mmater*Parámetros!$G60*$X$5+AB72*(1+i_noc)</f>
        <v>0</v>
      </c>
      <c r="AC73" s="53">
        <f>E73*12*Parámetros!$F60*$X$5+AC72*(1+i_noc)</f>
        <v>1015242.6974320401</v>
      </c>
      <c r="AD73" s="53"/>
      <c r="AE73" s="53"/>
      <c r="AF73" s="175"/>
      <c r="AG73" s="74">
        <f t="shared" si="30"/>
        <v>0</v>
      </c>
      <c r="AH73" s="52">
        <f t="shared" si="31"/>
        <v>0</v>
      </c>
      <c r="AI73" s="56">
        <f t="shared" si="41"/>
        <v>0</v>
      </c>
      <c r="AJ73" s="56">
        <f t="shared" si="42"/>
        <v>0</v>
      </c>
      <c r="AK73" s="56"/>
      <c r="AL73" s="56"/>
      <c r="AM73" s="56"/>
      <c r="AN73" s="56"/>
      <c r="AO73" s="56">
        <f t="shared" si="43"/>
        <v>0</v>
      </c>
      <c r="AP73" s="56">
        <f t="shared" si="44"/>
        <v>0</v>
      </c>
      <c r="AQ73" s="53">
        <f t="shared" si="45"/>
        <v>0</v>
      </c>
      <c r="AR73" s="53">
        <f t="shared" si="46"/>
        <v>0</v>
      </c>
      <c r="AS73" s="39"/>
      <c r="AT73" s="68">
        <f t="shared" si="47"/>
        <v>0</v>
      </c>
      <c r="AU73" s="68">
        <f t="shared" si="48"/>
        <v>0</v>
      </c>
      <c r="AV73" s="68">
        <f t="shared" si="49"/>
        <v>0</v>
      </c>
      <c r="AW73" s="68">
        <f t="shared" si="32"/>
        <v>0</v>
      </c>
      <c r="AX73" s="39"/>
      <c r="AY73" s="39"/>
    </row>
    <row r="74" spans="1:51" x14ac:dyDescent="0.25">
      <c r="A74" s="30">
        <v>2039</v>
      </c>
      <c r="B74" s="33">
        <f>w_uf*UF*Parámetros!C61</f>
        <v>1036153.0973081558</v>
      </c>
      <c r="C74" s="30">
        <f t="shared" si="35"/>
        <v>60</v>
      </c>
      <c r="D74" s="30">
        <f>((A74=Inputs!$C$12)*(Inputs!$D$12) + (A74=Inputs!$C$13)*(Inputs!$D$13) + (A74=Inputs!$C$14)*(Inputs!$D$14)) *(A74 &gt;= a_afil)*(A74&gt;=2024)</f>
        <v>0</v>
      </c>
      <c r="E74" s="30">
        <f>MIN(1,(A74=Inputs!$C$19)*Inputs!$D$19+(A74=Inputs!$C$20)*Inputs!$D$20+(A74=Inputs!$C$21)*Inputs!$D$21*(A74 &gt;= a_afil))</f>
        <v>0</v>
      </c>
      <c r="F74" s="30">
        <f t="shared" si="28"/>
        <v>1</v>
      </c>
      <c r="G74" s="30">
        <f t="shared" si="29"/>
        <v>1</v>
      </c>
      <c r="H74" s="30">
        <v>0.22373753786087036</v>
      </c>
      <c r="I74" s="37">
        <f t="shared" si="36"/>
        <v>0.57999999999999996</v>
      </c>
      <c r="J74" s="37">
        <f t="shared" si="37"/>
        <v>0.57999999999999996</v>
      </c>
      <c r="K74" s="30">
        <f>1*OR(Inputs!$D$17=$A74,Inputs!$E$17=$A74)*($E74=0)*(F74=1)</f>
        <v>0</v>
      </c>
      <c r="L74" s="30">
        <f>1*OR(Inputs!$D$17=$A74,Inputs!$E$17=$A74)*($E74=0)*(G74=1)</f>
        <v>0</v>
      </c>
      <c r="M74" s="73">
        <f t="shared" si="59"/>
        <v>144232.51114529528</v>
      </c>
      <c r="N74" s="73">
        <f t="shared" si="60"/>
        <v>144232.51114529528</v>
      </c>
      <c r="O74" s="55">
        <f>Parámetros!$E61*12*I74*$P$14</f>
        <v>192069.34712264687</v>
      </c>
      <c r="P74" s="55">
        <f>Parámetros!$E61*12*J74*$P$14</f>
        <v>192069.34712264687</v>
      </c>
      <c r="Q74" s="70">
        <f t="shared" si="39"/>
        <v>721162.55572647648</v>
      </c>
      <c r="R74" s="70">
        <f t="shared" si="40"/>
        <v>721162.55572647648</v>
      </c>
      <c r="S74" s="68">
        <f t="shared" si="57"/>
        <v>757220.68351280026</v>
      </c>
      <c r="T74" s="68">
        <f t="shared" si="58"/>
        <v>757220.68351280026</v>
      </c>
      <c r="U74" s="177"/>
      <c r="V74" s="68">
        <f t="shared" si="51"/>
        <v>2025409.083873956</v>
      </c>
      <c r="W74" s="68">
        <f t="shared" si="52"/>
        <v>2025409.083873956</v>
      </c>
      <c r="X74" s="54">
        <f t="shared" si="33"/>
        <v>37809960.597689778</v>
      </c>
      <c r="Y74" s="54">
        <f t="shared" si="34"/>
        <v>37809960.597689778</v>
      </c>
      <c r="Z74" s="55">
        <f t="shared" si="53"/>
        <v>38180051.984971367</v>
      </c>
      <c r="AA74" s="55">
        <f t="shared" si="54"/>
        <v>38180051.984971367</v>
      </c>
      <c r="AB74" s="53">
        <f>D74*mmater*Parámetros!$G61*$X$5+AB73*(1+i_noc)</f>
        <v>0</v>
      </c>
      <c r="AC74" s="53">
        <f>E74*12*Parámetros!$F61*$X$5+AC73*(1+i_noc)</f>
        <v>1035547.551380681</v>
      </c>
      <c r="AD74" s="53"/>
      <c r="AE74" s="53"/>
      <c r="AF74" s="175"/>
      <c r="AG74" s="74">
        <f t="shared" si="30"/>
        <v>0</v>
      </c>
      <c r="AH74" s="52">
        <f t="shared" si="31"/>
        <v>0</v>
      </c>
      <c r="AI74" s="56">
        <f t="shared" si="41"/>
        <v>0</v>
      </c>
      <c r="AJ74" s="56">
        <f t="shared" si="42"/>
        <v>0</v>
      </c>
      <c r="AK74" s="56"/>
      <c r="AL74" s="56"/>
      <c r="AM74" s="56"/>
      <c r="AN74" s="56"/>
      <c r="AO74" s="56">
        <f t="shared" si="43"/>
        <v>0</v>
      </c>
      <c r="AP74" s="56">
        <f t="shared" si="44"/>
        <v>0</v>
      </c>
      <c r="AQ74" s="53">
        <f t="shared" si="45"/>
        <v>0</v>
      </c>
      <c r="AR74" s="53">
        <f t="shared" si="46"/>
        <v>0</v>
      </c>
      <c r="AS74" s="39"/>
      <c r="AT74" s="68">
        <f t="shared" si="47"/>
        <v>0</v>
      </c>
      <c r="AU74" s="68">
        <f t="shared" si="48"/>
        <v>0</v>
      </c>
      <c r="AV74" s="68">
        <f t="shared" si="49"/>
        <v>0</v>
      </c>
      <c r="AW74" s="68">
        <f t="shared" si="32"/>
        <v>0</v>
      </c>
      <c r="AX74" s="39"/>
      <c r="AY74" s="39"/>
    </row>
    <row r="75" spans="1:51" x14ac:dyDescent="0.25">
      <c r="A75" s="30">
        <v>2040</v>
      </c>
      <c r="B75" s="33">
        <f>w_uf*UF*Parámetros!C62</f>
        <v>1049105.0110245079</v>
      </c>
      <c r="C75" s="30">
        <f t="shared" si="35"/>
        <v>61</v>
      </c>
      <c r="D75" s="30">
        <f>((A75=Inputs!$C$12)*(Inputs!$D$12) + (A75=Inputs!$C$13)*(Inputs!$D$13) + (A75=Inputs!$C$14)*(Inputs!$D$14)) *(A75 &gt;= a_afil)*(A75&gt;=2024)</f>
        <v>0</v>
      </c>
      <c r="E75" s="30">
        <f>MIN(1,(A75=Inputs!$C$19)*Inputs!$D$19+(A75=Inputs!$C$20)*Inputs!$D$20+(A75=Inputs!$C$21)*Inputs!$D$21*(A75 &gt;= a_afil))</f>
        <v>0</v>
      </c>
      <c r="F75" s="30">
        <f t="shared" si="28"/>
        <v>1</v>
      </c>
      <c r="G75" s="30">
        <f t="shared" si="29"/>
        <v>1</v>
      </c>
      <c r="H75" s="30">
        <v>0.32614398002624512</v>
      </c>
      <c r="I75" s="37">
        <f t="shared" si="36"/>
        <v>0.57999999999999996</v>
      </c>
      <c r="J75" s="37">
        <f t="shared" si="37"/>
        <v>0.57999999999999996</v>
      </c>
      <c r="K75" s="30">
        <f>1*OR(Inputs!$D$17=$A75,Inputs!$E$17=$A75)*($E75=0)*(F75=1)</f>
        <v>0</v>
      </c>
      <c r="L75" s="30">
        <f>1*OR(Inputs!$D$17=$A75,Inputs!$E$17=$A75)*($E75=0)*(G75=1)</f>
        <v>0</v>
      </c>
      <c r="M75" s="73">
        <f t="shared" si="59"/>
        <v>146035.41753461151</v>
      </c>
      <c r="N75" s="73">
        <f t="shared" si="60"/>
        <v>146035.41753461151</v>
      </c>
      <c r="O75" s="55">
        <f>Parámetros!$E62*12*I75*$P$14</f>
        <v>194470.21396167992</v>
      </c>
      <c r="P75" s="55">
        <f>Parámetros!$E62*12*J75*$P$14</f>
        <v>194470.21396167992</v>
      </c>
      <c r="Q75" s="70">
        <f t="shared" si="39"/>
        <v>730177.08767305757</v>
      </c>
      <c r="R75" s="70">
        <f t="shared" si="40"/>
        <v>730177.08767305757</v>
      </c>
      <c r="S75" s="68">
        <f t="shared" si="57"/>
        <v>766685.94205671037</v>
      </c>
      <c r="T75" s="68">
        <f t="shared" si="58"/>
        <v>766685.94205671037</v>
      </c>
      <c r="U75" s="177"/>
      <c r="V75" s="68">
        <f t="shared" si="51"/>
        <v>2251753.6164456648</v>
      </c>
      <c r="W75" s="68">
        <f t="shared" si="52"/>
        <v>2251753.6164456648</v>
      </c>
      <c r="X75" s="54">
        <f t="shared" si="33"/>
        <v>39818114.353564754</v>
      </c>
      <c r="Y75" s="54">
        <f t="shared" si="34"/>
        <v>39818114.353564754</v>
      </c>
      <c r="Z75" s="55">
        <f t="shared" si="53"/>
        <v>40186701.395810269</v>
      </c>
      <c r="AA75" s="55">
        <f t="shared" si="54"/>
        <v>40186701.395810269</v>
      </c>
      <c r="AB75" s="53">
        <f>D75*mmater*Parámetros!$G62*$X$5+AB74*(1+i_noc)</f>
        <v>0</v>
      </c>
      <c r="AC75" s="53">
        <f>E75*12*Parámetros!$F62*$X$5+AC74*(1+i_noc)</f>
        <v>1056258.5024082947</v>
      </c>
      <c r="AD75" s="53"/>
      <c r="AE75" s="53"/>
      <c r="AF75" s="175"/>
      <c r="AG75" s="74">
        <f t="shared" si="30"/>
        <v>0</v>
      </c>
      <c r="AH75" s="52">
        <f t="shared" si="31"/>
        <v>0</v>
      </c>
      <c r="AI75" s="56">
        <f t="shared" si="41"/>
        <v>0</v>
      </c>
      <c r="AJ75" s="56">
        <f t="shared" si="42"/>
        <v>0</v>
      </c>
      <c r="AK75" s="56"/>
      <c r="AL75" s="56"/>
      <c r="AM75" s="56"/>
      <c r="AN75" s="56"/>
      <c r="AO75" s="56">
        <f t="shared" si="43"/>
        <v>0</v>
      </c>
      <c r="AP75" s="56">
        <f t="shared" si="44"/>
        <v>0</v>
      </c>
      <c r="AQ75" s="53">
        <f t="shared" si="45"/>
        <v>0</v>
      </c>
      <c r="AR75" s="53">
        <f t="shared" si="46"/>
        <v>0</v>
      </c>
      <c r="AS75" s="39"/>
      <c r="AT75" s="68">
        <f t="shared" si="47"/>
        <v>0</v>
      </c>
      <c r="AU75" s="68">
        <f t="shared" si="48"/>
        <v>0</v>
      </c>
      <c r="AV75" s="68">
        <f t="shared" si="49"/>
        <v>0</v>
      </c>
      <c r="AW75" s="68">
        <f t="shared" si="32"/>
        <v>0</v>
      </c>
      <c r="AX75" s="39"/>
      <c r="AY75" s="39"/>
    </row>
    <row r="76" spans="1:51" x14ac:dyDescent="0.25">
      <c r="A76" s="30">
        <v>2041</v>
      </c>
      <c r="B76" s="33">
        <f>w_uf*UF*Parámetros!C63</f>
        <v>1062218.8236623141</v>
      </c>
      <c r="C76" s="30">
        <f t="shared" si="35"/>
        <v>62</v>
      </c>
      <c r="D76" s="30">
        <f>((A76=Inputs!$C$12)*(Inputs!$D$12) + (A76=Inputs!$C$13)*(Inputs!$D$13) + (A76=Inputs!$C$14)*(Inputs!$D$14)) *(A76 &gt;= a_afil)*(A76&gt;=2024)</f>
        <v>0</v>
      </c>
      <c r="E76" s="30">
        <f>MIN(1,(A76=Inputs!$C$19)*Inputs!$D$19+(A76=Inputs!$C$20)*Inputs!$D$20+(A76=Inputs!$C$21)*Inputs!$D$21*(A76 &gt;= a_afil))</f>
        <v>0</v>
      </c>
      <c r="F76" s="30">
        <f t="shared" si="28"/>
        <v>1</v>
      </c>
      <c r="G76" s="30">
        <f t="shared" si="29"/>
        <v>1</v>
      </c>
      <c r="H76" s="30">
        <v>0.78448861837387085</v>
      </c>
      <c r="I76" s="37">
        <f t="shared" si="36"/>
        <v>0.57999999999999996</v>
      </c>
      <c r="J76" s="37">
        <f t="shared" si="37"/>
        <v>0.57999999999999996</v>
      </c>
      <c r="K76" s="30">
        <f>1*OR(Inputs!$D$17=$A76,Inputs!$E$17=$A76)*($E76=0)*(F76=1)</f>
        <v>0</v>
      </c>
      <c r="L76" s="30">
        <f>1*OR(Inputs!$D$17=$A76,Inputs!$E$17=$A76)*($E76=0)*(G76=1)</f>
        <v>0</v>
      </c>
      <c r="M76" s="73">
        <f t="shared" si="59"/>
        <v>147860.86025379412</v>
      </c>
      <c r="N76" s="73">
        <f t="shared" si="60"/>
        <v>147860.86025379412</v>
      </c>
      <c r="O76" s="55">
        <f>Parámetros!$E63*12*I76*$P$14</f>
        <v>196901.09163620096</v>
      </c>
      <c r="P76" s="55">
        <f>Parámetros!$E63*12*J76*$P$14</f>
        <v>196901.09163620096</v>
      </c>
      <c r="Q76" s="70">
        <f t="shared" si="39"/>
        <v>739304.30126897059</v>
      </c>
      <c r="R76" s="70">
        <f t="shared" si="40"/>
        <v>739304.30126897059</v>
      </c>
      <c r="S76" s="68">
        <f t="shared" si="57"/>
        <v>776269.51633241912</v>
      </c>
      <c r="T76" s="68">
        <f t="shared" si="58"/>
        <v>776269.51633241912</v>
      </c>
      <c r="U76" s="177"/>
      <c r="V76" s="68">
        <f t="shared" si="51"/>
        <v>2487456.1538525322</v>
      </c>
      <c r="W76" s="68">
        <f t="shared" si="52"/>
        <v>2487456.1538525322</v>
      </c>
      <c r="X76" s="54">
        <f t="shared" si="33"/>
        <v>41903270.919984214</v>
      </c>
      <c r="Y76" s="54">
        <f t="shared" si="34"/>
        <v>41903270.919984214</v>
      </c>
      <c r="Z76" s="55">
        <f t="shared" si="53"/>
        <v>42268103.804085255</v>
      </c>
      <c r="AA76" s="55">
        <f t="shared" si="54"/>
        <v>42268103.804085255</v>
      </c>
      <c r="AB76" s="53">
        <f>D76*mmater*Parámetros!$G63*$X$5+AB75*(1+i_noc)</f>
        <v>0</v>
      </c>
      <c r="AC76" s="53">
        <f>E76*12*Parámetros!$F63*$X$5+AC75*(1+i_noc)</f>
        <v>1077383.6724564605</v>
      </c>
      <c r="AD76" s="53"/>
      <c r="AE76" s="53"/>
      <c r="AF76" s="175"/>
      <c r="AG76" s="74">
        <f t="shared" si="30"/>
        <v>0</v>
      </c>
      <c r="AH76" s="52">
        <f t="shared" si="31"/>
        <v>0</v>
      </c>
      <c r="AI76" s="56">
        <f t="shared" si="41"/>
        <v>0</v>
      </c>
      <c r="AJ76" s="56">
        <f t="shared" si="42"/>
        <v>0</v>
      </c>
      <c r="AK76" s="56"/>
      <c r="AL76" s="56"/>
      <c r="AM76" s="56"/>
      <c r="AN76" s="56"/>
      <c r="AO76" s="56">
        <f t="shared" si="43"/>
        <v>0</v>
      </c>
      <c r="AP76" s="56">
        <f t="shared" si="44"/>
        <v>0</v>
      </c>
      <c r="AQ76" s="53">
        <f t="shared" si="45"/>
        <v>0</v>
      </c>
      <c r="AR76" s="53">
        <f t="shared" si="46"/>
        <v>0</v>
      </c>
      <c r="AS76" s="39"/>
      <c r="AT76" s="68">
        <f t="shared" si="47"/>
        <v>0</v>
      </c>
      <c r="AU76" s="68">
        <f t="shared" si="48"/>
        <v>0</v>
      </c>
      <c r="AV76" s="68">
        <f t="shared" si="49"/>
        <v>0</v>
      </c>
      <c r="AW76" s="68">
        <f t="shared" si="32"/>
        <v>0</v>
      </c>
      <c r="AX76" s="39"/>
      <c r="AY76" s="39"/>
    </row>
    <row r="77" spans="1:51" x14ac:dyDescent="0.25">
      <c r="A77" s="30">
        <v>2042</v>
      </c>
      <c r="B77" s="33">
        <f>w_uf*UF*Parámetros!C64</f>
        <v>1075496.5589580929</v>
      </c>
      <c r="C77" s="30">
        <f t="shared" si="35"/>
        <v>63</v>
      </c>
      <c r="D77" s="30">
        <f>((A77=Inputs!$C$12)*(Inputs!$D$12) + (A77=Inputs!$C$13)*(Inputs!$D$13) + (A77=Inputs!$C$14)*(Inputs!$D$14)) *(A77 &gt;= a_afil)*(A77&gt;=2024)</f>
        <v>0</v>
      </c>
      <c r="E77" s="30">
        <f>MIN(1,(A77=Inputs!$C$19)*Inputs!$D$19+(A77=Inputs!$C$20)*Inputs!$D$20+(A77=Inputs!$C$21)*Inputs!$D$21*(A77 &gt;= a_afil))</f>
        <v>0</v>
      </c>
      <c r="F77" s="30">
        <f t="shared" si="28"/>
        <v>1</v>
      </c>
      <c r="G77" s="30">
        <f t="shared" si="29"/>
        <v>1</v>
      </c>
      <c r="H77" s="30">
        <v>5.0262808799743652E-2</v>
      </c>
      <c r="I77" s="37">
        <f t="shared" si="36"/>
        <v>0.57999999999999996</v>
      </c>
      <c r="J77" s="37">
        <f t="shared" si="37"/>
        <v>0.57999999999999996</v>
      </c>
      <c r="K77" s="30">
        <f>1*OR(Inputs!$D$17=$A77,Inputs!$E$17=$A77)*($E77=0)*(F77=1)</f>
        <v>0</v>
      </c>
      <c r="L77" s="30">
        <f>1*OR(Inputs!$D$17=$A77,Inputs!$E$17=$A77)*($E77=0)*(G77=1)</f>
        <v>0</v>
      </c>
      <c r="M77" s="73">
        <f t="shared" si="59"/>
        <v>149709.12100696654</v>
      </c>
      <c r="N77" s="73">
        <f t="shared" si="60"/>
        <v>149709.12100696654</v>
      </c>
      <c r="O77" s="55">
        <f>Parámetros!$E64*12*I77*$P$14</f>
        <v>199362.35528165349</v>
      </c>
      <c r="P77" s="55">
        <f>Parámetros!$E64*12*J77*$P$14</f>
        <v>199362.35528165349</v>
      </c>
      <c r="Q77" s="70">
        <f t="shared" si="39"/>
        <v>748545.60503483273</v>
      </c>
      <c r="R77" s="70">
        <f t="shared" si="40"/>
        <v>748545.60503483273</v>
      </c>
      <c r="S77" s="68">
        <f t="shared" si="57"/>
        <v>785972.88528657437</v>
      </c>
      <c r="T77" s="68">
        <f t="shared" si="58"/>
        <v>785972.88528657437</v>
      </c>
      <c r="U77" s="177"/>
      <c r="V77" s="68">
        <f t="shared" si="51"/>
        <v>2732845.7019621492</v>
      </c>
      <c r="W77" s="68">
        <f t="shared" si="52"/>
        <v>2732845.7019621492</v>
      </c>
      <c r="X77" s="54">
        <f t="shared" si="33"/>
        <v>44068147.082114518</v>
      </c>
      <c r="Y77" s="54">
        <f t="shared" si="34"/>
        <v>44068147.082114518</v>
      </c>
      <c r="Z77" s="55">
        <f t="shared" si="53"/>
        <v>44426806.737837709</v>
      </c>
      <c r="AA77" s="55">
        <f t="shared" si="54"/>
        <v>44426806.737837709</v>
      </c>
      <c r="AB77" s="53">
        <f>D77*mmater*Parámetros!$G64*$X$5+AB76*(1+i_noc)</f>
        <v>0</v>
      </c>
      <c r="AC77" s="53">
        <f>E77*12*Parámetros!$F64*$X$5+AC76*(1+i_noc)</f>
        <v>1098931.3459055899</v>
      </c>
      <c r="AD77" s="53"/>
      <c r="AE77" s="53"/>
      <c r="AF77" s="175"/>
      <c r="AG77" s="74">
        <f t="shared" si="30"/>
        <v>0</v>
      </c>
      <c r="AH77" s="52">
        <f t="shared" si="31"/>
        <v>0</v>
      </c>
      <c r="AI77" s="56">
        <f t="shared" si="41"/>
        <v>0</v>
      </c>
      <c r="AJ77" s="56">
        <f t="shared" si="42"/>
        <v>0</v>
      </c>
      <c r="AK77" s="56"/>
      <c r="AL77" s="56"/>
      <c r="AM77" s="56"/>
      <c r="AN77" s="56"/>
      <c r="AO77" s="56">
        <f t="shared" si="43"/>
        <v>0</v>
      </c>
      <c r="AP77" s="56">
        <f t="shared" si="44"/>
        <v>0</v>
      </c>
      <c r="AQ77" s="53">
        <f t="shared" si="45"/>
        <v>0</v>
      </c>
      <c r="AR77" s="53">
        <f t="shared" si="46"/>
        <v>0</v>
      </c>
      <c r="AS77" s="39"/>
      <c r="AT77" s="68">
        <f t="shared" si="47"/>
        <v>0</v>
      </c>
      <c r="AU77" s="68">
        <f t="shared" si="48"/>
        <v>0</v>
      </c>
      <c r="AV77" s="68">
        <f t="shared" si="49"/>
        <v>0</v>
      </c>
      <c r="AW77" s="68">
        <f t="shared" si="32"/>
        <v>0</v>
      </c>
      <c r="AX77" s="39"/>
      <c r="AY77" s="39"/>
    </row>
    <row r="78" spans="1:51" x14ac:dyDescent="0.25">
      <c r="A78" s="30">
        <v>2043</v>
      </c>
      <c r="B78" s="33">
        <f>w_uf*UF*Parámetros!C65</f>
        <v>1088940.2659450693</v>
      </c>
      <c r="C78" s="30">
        <f t="shared" si="35"/>
        <v>64</v>
      </c>
      <c r="D78" s="30">
        <f>((A78=Inputs!$C$12)*(Inputs!$D$12) + (A78=Inputs!$C$13)*(Inputs!$D$13) + (A78=Inputs!$C$14)*(Inputs!$D$14)) *(A78 &gt;= a_afil)*(A78&gt;=2024)</f>
        <v>0</v>
      </c>
      <c r="E78" s="30">
        <f>MIN(1,(A78=Inputs!$C$19)*Inputs!$D$19+(A78=Inputs!$C$20)*Inputs!$D$20+(A78=Inputs!$C$21)*Inputs!$D$21*(A78 &gt;= a_afil))</f>
        <v>0</v>
      </c>
      <c r="F78" s="30">
        <f t="shared" si="28"/>
        <v>1</v>
      </c>
      <c r="G78" s="30">
        <f t="shared" si="29"/>
        <v>1</v>
      </c>
      <c r="H78" s="30">
        <v>0.51801592111587524</v>
      </c>
      <c r="I78" s="37">
        <f t="shared" si="36"/>
        <v>0.57999999999999996</v>
      </c>
      <c r="J78" s="37">
        <f t="shared" si="37"/>
        <v>0.57999999999999996</v>
      </c>
      <c r="K78" s="30">
        <f>1*OR(Inputs!$D$17=$A78,Inputs!$E$17=$A78)*($E78=0)*(F78=1)</f>
        <v>0</v>
      </c>
      <c r="L78" s="30">
        <f>1*OR(Inputs!$D$17=$A78,Inputs!$E$17=$A78)*($E78=0)*(G78=1)</f>
        <v>0</v>
      </c>
      <c r="M78" s="73">
        <f t="shared" si="59"/>
        <v>151580.48501955363</v>
      </c>
      <c r="N78" s="73">
        <f t="shared" si="60"/>
        <v>151580.48501955363</v>
      </c>
      <c r="O78" s="55">
        <f>Parámetros!$E65*12*I78*$P$14</f>
        <v>201854.38472267409</v>
      </c>
      <c r="P78" s="55">
        <f>Parámetros!$E65*12*J78*$P$14</f>
        <v>201854.38472267409</v>
      </c>
      <c r="Q78" s="70">
        <f t="shared" si="39"/>
        <v>757902.42509776819</v>
      </c>
      <c r="R78" s="70">
        <f t="shared" si="40"/>
        <v>757902.42509776819</v>
      </c>
      <c r="S78" s="68">
        <f t="shared" si="57"/>
        <v>795797.54635265667</v>
      </c>
      <c r="T78" s="68">
        <f t="shared" si="58"/>
        <v>795797.54635265667</v>
      </c>
      <c r="U78" s="177"/>
      <c r="V78" s="68">
        <f t="shared" si="51"/>
        <v>2988262.2652839986</v>
      </c>
      <c r="W78" s="68">
        <f t="shared" si="52"/>
        <v>2988262.2652839986</v>
      </c>
      <c r="X78" s="54">
        <f t="shared" si="33"/>
        <v>46315552.87858776</v>
      </c>
      <c r="Y78" s="54">
        <f t="shared" si="34"/>
        <v>46315552.87858776</v>
      </c>
      <c r="Z78" s="55">
        <f t="shared" si="53"/>
        <v>46665441.95793815</v>
      </c>
      <c r="AA78" s="55">
        <f t="shared" si="54"/>
        <v>46665441.95793815</v>
      </c>
      <c r="AB78" s="53">
        <f>D78*mmater*Parámetros!$G65*$X$5+AB77*(1+i_noc)</f>
        <v>0</v>
      </c>
      <c r="AC78" s="53">
        <f>E78*12*Parámetros!$F65*$X$5+AC77*(1+i_noc)</f>
        <v>1120909.9728237018</v>
      </c>
      <c r="AD78" s="53"/>
      <c r="AE78" s="53"/>
      <c r="AF78" s="175"/>
      <c r="AG78" s="74">
        <f t="shared" si="30"/>
        <v>0</v>
      </c>
      <c r="AH78" s="52">
        <f t="shared" si="31"/>
        <v>0</v>
      </c>
      <c r="AI78" s="56">
        <f t="shared" si="41"/>
        <v>0</v>
      </c>
      <c r="AJ78" s="56">
        <f t="shared" si="42"/>
        <v>0</v>
      </c>
      <c r="AK78" s="56"/>
      <c r="AL78" s="56"/>
      <c r="AM78" s="56"/>
      <c r="AN78" s="56"/>
      <c r="AO78" s="56">
        <f t="shared" si="43"/>
        <v>0</v>
      </c>
      <c r="AP78" s="56">
        <f t="shared" si="44"/>
        <v>0</v>
      </c>
      <c r="AQ78" s="53">
        <f t="shared" si="45"/>
        <v>0</v>
      </c>
      <c r="AR78" s="53">
        <f t="shared" si="46"/>
        <v>0</v>
      </c>
      <c r="AS78" s="39"/>
      <c r="AT78" s="68">
        <f t="shared" si="47"/>
        <v>0</v>
      </c>
      <c r="AU78" s="68">
        <f t="shared" si="48"/>
        <v>0</v>
      </c>
      <c r="AV78" s="68">
        <f t="shared" si="49"/>
        <v>0</v>
      </c>
      <c r="AW78" s="68">
        <f t="shared" si="32"/>
        <v>0</v>
      </c>
      <c r="AX78" s="39"/>
      <c r="AY78" s="39"/>
    </row>
    <row r="79" spans="1:51" x14ac:dyDescent="0.25">
      <c r="A79" s="30">
        <v>2044</v>
      </c>
      <c r="B79" s="33">
        <f>w_uf*UF*Parámetros!C66</f>
        <v>1102552.0192693826</v>
      </c>
      <c r="C79" s="30">
        <f t="shared" si="35"/>
        <v>65</v>
      </c>
      <c r="D79" s="30">
        <f>((A79=Inputs!$C$12)*(Inputs!$D$12) + (A79=Inputs!$C$13)*(Inputs!$D$13) + (A79=Inputs!$C$14)*(Inputs!$D$14)) *(A79 &gt;= a_afil)*(A79&gt;=2024)</f>
        <v>0</v>
      </c>
      <c r="E79" s="30">
        <f>MIN(1,(A79=Inputs!$C$19)*Inputs!$D$19+(A79=Inputs!$C$20)*Inputs!$D$20+(A79=Inputs!$C$21)*Inputs!$D$21*(A79 &gt;= a_afil))</f>
        <v>0</v>
      </c>
      <c r="F79" s="30">
        <f t="shared" si="28"/>
        <v>0</v>
      </c>
      <c r="G79" s="30">
        <f t="shared" si="29"/>
        <v>0</v>
      </c>
      <c r="H79" s="30">
        <v>0.75702953338623047</v>
      </c>
      <c r="I79" s="37">
        <f t="shared" si="36"/>
        <v>0</v>
      </c>
      <c r="J79" s="37">
        <f t="shared" si="37"/>
        <v>0</v>
      </c>
      <c r="K79" s="30">
        <f>1*OR(Inputs!$D$17=$A79,Inputs!$E$17=$A79)*($E79=0)*(F79=1)</f>
        <v>0</v>
      </c>
      <c r="L79" s="30">
        <f>1*OR(Inputs!$D$17=$A79,Inputs!$E$17=$A79)*($E79=0)*(G79=1)</f>
        <v>0</v>
      </c>
      <c r="M79" s="73">
        <f t="shared" si="59"/>
        <v>0</v>
      </c>
      <c r="N79" s="73">
        <f t="shared" si="60"/>
        <v>0</v>
      </c>
      <c r="O79" s="55">
        <f>Parámetros!$E66*12*I79*$P$14</f>
        <v>0</v>
      </c>
      <c r="P79" s="55">
        <f>Parámetros!$E66*12*J79*$P$14</f>
        <v>0</v>
      </c>
      <c r="Q79" s="70">
        <f t="shared" si="39"/>
        <v>0</v>
      </c>
      <c r="R79" s="70">
        <f t="shared" si="40"/>
        <v>0</v>
      </c>
      <c r="S79" s="68">
        <f t="shared" si="57"/>
        <v>0</v>
      </c>
      <c r="T79" s="68">
        <f t="shared" si="58"/>
        <v>0</v>
      </c>
      <c r="U79" s="177"/>
      <c r="V79" s="68">
        <f t="shared" si="51"/>
        <v>3085311.2699723896</v>
      </c>
      <c r="W79" s="68">
        <f t="shared" si="52"/>
        <v>3085311.2699723896</v>
      </c>
      <c r="X79" s="54">
        <f t="shared" si="33"/>
        <v>47881018.565884031</v>
      </c>
      <c r="Y79" s="54">
        <f t="shared" si="34"/>
        <v>47881018.565884031</v>
      </c>
      <c r="Z79" s="55">
        <f t="shared" si="53"/>
        <v>48180983.196729429</v>
      </c>
      <c r="AA79" s="55">
        <f t="shared" si="54"/>
        <v>48180983.196729429</v>
      </c>
      <c r="AB79" s="53">
        <f>D79*mmater*Parámetros!$G66*$X$5+AB78*(1+i_noc)</f>
        <v>0</v>
      </c>
      <c r="AC79" s="53">
        <f>E79*12*Parámetros!$F66*$X$5+AC78*(1+i_noc)</f>
        <v>1143328.1722801758</v>
      </c>
      <c r="AD79" s="53"/>
      <c r="AE79" s="53"/>
      <c r="AF79" s="175"/>
      <c r="AG79" s="74">
        <f t="shared" si="30"/>
        <v>249562.18907357016</v>
      </c>
      <c r="AH79" s="52">
        <f t="shared" si="31"/>
        <v>222428.64055623682</v>
      </c>
      <c r="AI79" s="56">
        <f t="shared" si="41"/>
        <v>267206.69392602227</v>
      </c>
      <c r="AJ79" s="56">
        <f t="shared" si="42"/>
        <v>238154.75372341165</v>
      </c>
      <c r="AK79" s="56"/>
      <c r="AL79" s="56"/>
      <c r="AM79" s="56"/>
      <c r="AN79" s="56"/>
      <c r="AO79" s="56">
        <f t="shared" si="43"/>
        <v>0</v>
      </c>
      <c r="AP79" s="56">
        <f t="shared" si="44"/>
        <v>4919.4967717622039</v>
      </c>
      <c r="AQ79" s="53">
        <f t="shared" si="45"/>
        <v>0</v>
      </c>
      <c r="AR79" s="53">
        <f t="shared" si="46"/>
        <v>0</v>
      </c>
      <c r="AS79" s="39"/>
      <c r="AT79" s="68">
        <f t="shared" si="47"/>
        <v>16081.049601068573</v>
      </c>
      <c r="AU79" s="68">
        <f t="shared" si="48"/>
        <v>14332.643958450943</v>
      </c>
      <c r="AV79" s="68">
        <f t="shared" si="49"/>
        <v>251125.64432495367</v>
      </c>
      <c r="AW79" s="68">
        <f t="shared" si="32"/>
        <v>223822.10976496071</v>
      </c>
      <c r="AX79" s="39"/>
      <c r="AY79" s="39"/>
    </row>
    <row r="80" spans="1:51" x14ac:dyDescent="0.25">
      <c r="A80" s="30">
        <v>2045</v>
      </c>
      <c r="B80" s="33">
        <f>w_uf*UF*Parámetros!C67</f>
        <v>1116333.9195102497</v>
      </c>
      <c r="C80" s="30">
        <f t="shared" ref="C80:C111" si="61">IF(AND(A80-a_nac&lt;=110,A80-a_nac&gt;0),A80-a_nac,"")</f>
        <v>66</v>
      </c>
      <c r="D80" s="30">
        <f>((A80=Inputs!$C$12)*(Inputs!$D$12) + (A80=Inputs!$C$13)*(Inputs!$D$13) + (A80=Inputs!$C$14)*(Inputs!$D$14)) *(A80 &gt;= a_afil)*(A80&gt;=2024)</f>
        <v>0</v>
      </c>
      <c r="E80" s="30">
        <f>MIN(1,(A80=Inputs!$C$19)*Inputs!$D$19+(A80=Inputs!$C$20)*Inputs!$D$20+(A80=Inputs!$C$21)*Inputs!$D$21*(A80 &gt;= a_afil))</f>
        <v>0</v>
      </c>
      <c r="F80" s="30">
        <f t="shared" ref="F80:F111" si="62" xml:space="preserve"> (C80&lt;edad_ret_h) * (A80&gt;=a_afil)</f>
        <v>0</v>
      </c>
      <c r="G80" s="30">
        <f t="shared" ref="G80:G111" si="63" xml:space="preserve"> (C80&lt;edad_ret_m) * (A80&gt;=a_afil)</f>
        <v>0</v>
      </c>
      <c r="H80" s="30">
        <v>0.80066984891891479</v>
      </c>
      <c r="I80" s="37">
        <f t="shared" si="36"/>
        <v>0</v>
      </c>
      <c r="J80" s="37">
        <f t="shared" si="37"/>
        <v>0</v>
      </c>
      <c r="K80" s="30">
        <f>1*OR(Inputs!$D$17=$A80,Inputs!$E$17=$A80)*($E80=0)*(F80=1)</f>
        <v>0</v>
      </c>
      <c r="L80" s="30">
        <f>1*OR(Inputs!$D$17=$A80,Inputs!$E$17=$A80)*($E80=0)*(G80=1)</f>
        <v>0</v>
      </c>
      <c r="M80" s="73">
        <f t="shared" si="59"/>
        <v>0</v>
      </c>
      <c r="N80" s="73">
        <f t="shared" si="60"/>
        <v>0</v>
      </c>
      <c r="O80" s="55">
        <f>Parámetros!$E67*12*I80*$P$14</f>
        <v>0</v>
      </c>
      <c r="P80" s="55">
        <f>Parámetros!$E67*12*J80*$P$14</f>
        <v>0</v>
      </c>
      <c r="Q80" s="70">
        <f t="shared" si="39"/>
        <v>0</v>
      </c>
      <c r="R80" s="70">
        <f t="shared" si="40"/>
        <v>0</v>
      </c>
      <c r="S80" s="68">
        <f t="shared" si="57"/>
        <v>0</v>
      </c>
      <c r="T80" s="68">
        <f t="shared" si="58"/>
        <v>0</v>
      </c>
      <c r="U80" s="177"/>
      <c r="V80" s="68">
        <f t="shared" si="51"/>
        <v>0</v>
      </c>
      <c r="W80" s="68">
        <f t="shared" si="52"/>
        <v>0</v>
      </c>
      <c r="X80" s="54">
        <f t="shared" si="33"/>
        <v>0</v>
      </c>
      <c r="Y80" s="54">
        <f t="shared" si="34"/>
        <v>0</v>
      </c>
      <c r="Z80" s="55">
        <f t="shared" si="53"/>
        <v>0</v>
      </c>
      <c r="AA80" s="55">
        <f t="shared" si="54"/>
        <v>0</v>
      </c>
      <c r="AB80" s="53">
        <f>D80*mmater*Parámetros!$G67*$X$5+AB79*(1+i_noc)</f>
        <v>0</v>
      </c>
      <c r="AC80" s="53">
        <f>E80*12*Parámetros!$F67*$X$5+AC79*(1+i_noc)</f>
        <v>1166194.7357257793</v>
      </c>
      <c r="AD80" s="53"/>
      <c r="AE80" s="53"/>
      <c r="AF80" s="175"/>
      <c r="AG80" s="74">
        <f t="shared" ref="AG80:AG111" si="64">($A80=D$9)*X80/(12*_xlfn.XLOOKUP(AG$15,sexo_cnu,cnu))</f>
        <v>0</v>
      </c>
      <c r="AH80" s="52">
        <f t="shared" ref="AH80:AH111" si="65">($A80=E$9)*Y80/(12*_xlfn.XLOOKUP(AH$15,sexo_cnu,cnu))</f>
        <v>0</v>
      </c>
      <c r="AI80" s="56">
        <f t="shared" si="41"/>
        <v>0</v>
      </c>
      <c r="AJ80" s="56">
        <f t="shared" si="42"/>
        <v>0</v>
      </c>
      <c r="AK80" s="56"/>
      <c r="AL80" s="56"/>
      <c r="AM80" s="56"/>
      <c r="AN80" s="56"/>
      <c r="AO80" s="56">
        <f t="shared" si="43"/>
        <v>0</v>
      </c>
      <c r="AP80" s="56">
        <f t="shared" si="44"/>
        <v>0</v>
      </c>
      <c r="AQ80" s="53">
        <f t="shared" si="45"/>
        <v>0</v>
      </c>
      <c r="AR80" s="53">
        <f t="shared" si="46"/>
        <v>0</v>
      </c>
      <c r="AS80" s="39"/>
      <c r="AT80" s="68">
        <f t="shared" si="47"/>
        <v>0</v>
      </c>
      <c r="AU80" s="68">
        <f t="shared" si="48"/>
        <v>0</v>
      </c>
      <c r="AV80" s="68">
        <f t="shared" si="49"/>
        <v>0</v>
      </c>
      <c r="AW80" s="68">
        <f t="shared" ref="AW80:AW111" si="66">IF($A80=a_nac+edad_ret_m,AA80/(12*_xlfn.XLOOKUP(AW$15,sexo_cnu,cnu)),0)</f>
        <v>0</v>
      </c>
      <c r="AX80" s="39"/>
      <c r="AY80" s="39"/>
    </row>
    <row r="81" spans="1:51" x14ac:dyDescent="0.25">
      <c r="A81" s="30">
        <v>2046</v>
      </c>
      <c r="B81" s="33">
        <f>w_uf*UF*Parámetros!C68</f>
        <v>1130288.0935041278</v>
      </c>
      <c r="C81" s="30">
        <f t="shared" si="61"/>
        <v>67</v>
      </c>
      <c r="D81" s="30">
        <f>((A81=Inputs!$C$12)*(Inputs!$D$12) + (A81=Inputs!$C$13)*(Inputs!$D$13) + (A81=Inputs!$C$14)*(Inputs!$D$14)) *(A81 &gt;= a_afil)*(A81&gt;=2024)</f>
        <v>0</v>
      </c>
      <c r="E81" s="30">
        <f>MIN(1,(A81=Inputs!$C$19)*Inputs!$D$19+(A81=Inputs!$C$20)*Inputs!$D$20+(A81=Inputs!$C$21)*Inputs!$D$21*(A81 &gt;= a_afil))</f>
        <v>0</v>
      </c>
      <c r="F81" s="30">
        <f t="shared" si="62"/>
        <v>0</v>
      </c>
      <c r="G81" s="30">
        <f t="shared" si="63"/>
        <v>0</v>
      </c>
      <c r="H81" s="30">
        <v>0.32520544528961182</v>
      </c>
      <c r="I81" s="37">
        <f t="shared" si="36"/>
        <v>0</v>
      </c>
      <c r="J81" s="37">
        <f t="shared" si="37"/>
        <v>0</v>
      </c>
      <c r="K81" s="30">
        <f>1*OR(Inputs!$D$17=$A81,Inputs!$E$17=$A81)*($E81=0)*(F81=1)</f>
        <v>0</v>
      </c>
      <c r="L81" s="30">
        <f>1*OR(Inputs!$D$17=$A81,Inputs!$E$17=$A81)*($E81=0)*(G81=1)</f>
        <v>0</v>
      </c>
      <c r="M81" s="73">
        <f t="shared" si="59"/>
        <v>0</v>
      </c>
      <c r="N81" s="73">
        <f t="shared" si="60"/>
        <v>0</v>
      </c>
      <c r="O81" s="55">
        <f>Parámetros!$E68*12*I81*$P$14</f>
        <v>0</v>
      </c>
      <c r="P81" s="55">
        <f>Parámetros!$E68*12*J81*$P$14</f>
        <v>0</v>
      </c>
      <c r="Q81" s="70">
        <f t="shared" si="39"/>
        <v>0</v>
      </c>
      <c r="R81" s="70">
        <f t="shared" si="40"/>
        <v>0</v>
      </c>
      <c r="S81" s="68">
        <f t="shared" si="57"/>
        <v>0</v>
      </c>
      <c r="T81" s="68">
        <f t="shared" si="58"/>
        <v>0</v>
      </c>
      <c r="U81" s="177"/>
      <c r="V81" s="68">
        <f t="shared" si="51"/>
        <v>0</v>
      </c>
      <c r="W81" s="68">
        <f t="shared" si="52"/>
        <v>0</v>
      </c>
      <c r="X81" s="54">
        <f t="shared" ref="X81:X112" si="67">F80*X80*(1+_xlfn.XLOOKUP(MIN(2024,$A80),agnos_rent,rent_base))+Q81</f>
        <v>0</v>
      </c>
      <c r="Y81" s="54">
        <f t="shared" ref="Y81:Y112" si="68">G80*Y80*(1+_xlfn.XLOOKUP(MIN(2024,$A80),agnos_rent,rent_base))+R81</f>
        <v>0</v>
      </c>
      <c r="Z81" s="55">
        <f t="shared" si="53"/>
        <v>0</v>
      </c>
      <c r="AA81" s="55">
        <f t="shared" si="54"/>
        <v>0</v>
      </c>
      <c r="AB81" s="53">
        <f>D81*mmater*Parámetros!$G68*$X$5+AB80*(1+i_noc)</f>
        <v>0</v>
      </c>
      <c r="AC81" s="53">
        <f>E81*12*Parámetros!$F68*$X$5+AC80*(1+i_noc)</f>
        <v>1189518.630440295</v>
      </c>
      <c r="AD81" s="53"/>
      <c r="AE81" s="53"/>
      <c r="AF81" s="175"/>
      <c r="AG81" s="74">
        <f t="shared" si="64"/>
        <v>0</v>
      </c>
      <c r="AH81" s="52">
        <f t="shared" si="65"/>
        <v>0</v>
      </c>
      <c r="AI81" s="56">
        <f t="shared" si="41"/>
        <v>0</v>
      </c>
      <c r="AJ81" s="56">
        <f t="shared" si="42"/>
        <v>0</v>
      </c>
      <c r="AK81" s="56"/>
      <c r="AL81" s="56"/>
      <c r="AM81" s="56"/>
      <c r="AN81" s="56"/>
      <c r="AO81" s="56">
        <f t="shared" si="43"/>
        <v>0</v>
      </c>
      <c r="AP81" s="56">
        <f t="shared" si="44"/>
        <v>0</v>
      </c>
      <c r="AQ81" s="53">
        <f t="shared" si="45"/>
        <v>0</v>
      </c>
      <c r="AR81" s="53">
        <f t="shared" si="46"/>
        <v>0</v>
      </c>
      <c r="AS81" s="39"/>
      <c r="AT81" s="68">
        <f t="shared" si="47"/>
        <v>0</v>
      </c>
      <c r="AU81" s="68">
        <f t="shared" si="48"/>
        <v>0</v>
      </c>
      <c r="AV81" s="68">
        <f t="shared" si="49"/>
        <v>0</v>
      </c>
      <c r="AW81" s="68">
        <f t="shared" si="66"/>
        <v>0</v>
      </c>
      <c r="AX81" s="39"/>
      <c r="AY81" s="39"/>
    </row>
    <row r="82" spans="1:51" x14ac:dyDescent="0.25">
      <c r="A82" s="30">
        <v>2047</v>
      </c>
      <c r="B82" s="33">
        <f>w_uf*UF*Parámetros!C69</f>
        <v>1144416.6946729294</v>
      </c>
      <c r="C82" s="30">
        <f t="shared" si="61"/>
        <v>68</v>
      </c>
      <c r="D82" s="30">
        <f>((A82=Inputs!$C$12)*(Inputs!$D$12) + (A82=Inputs!$C$13)*(Inputs!$D$13) + (A82=Inputs!$C$14)*(Inputs!$D$14)) *(A82 &gt;= a_afil)*(A82&gt;=2024)</f>
        <v>0</v>
      </c>
      <c r="E82" s="30">
        <f>MIN(1,(A82=Inputs!$C$19)*Inputs!$D$19+(A82=Inputs!$C$20)*Inputs!$D$20+(A82=Inputs!$C$21)*Inputs!$D$21*(A82 &gt;= a_afil))</f>
        <v>0</v>
      </c>
      <c r="F82" s="30">
        <f t="shared" si="62"/>
        <v>0</v>
      </c>
      <c r="G82" s="30">
        <f t="shared" si="63"/>
        <v>0</v>
      </c>
      <c r="H82" s="30">
        <v>0.97272902727127075</v>
      </c>
      <c r="I82" s="37">
        <f t="shared" si="36"/>
        <v>0</v>
      </c>
      <c r="J82" s="37">
        <f t="shared" si="37"/>
        <v>0</v>
      </c>
      <c r="K82" s="30">
        <f>1*OR(Inputs!$D$17=$A82,Inputs!$E$17=$A82)*($E82=0)*(F82=1)</f>
        <v>0</v>
      </c>
      <c r="L82" s="30">
        <f>1*OR(Inputs!$D$17=$A82,Inputs!$E$17=$A82)*($E82=0)*(G82=1)</f>
        <v>0</v>
      </c>
      <c r="M82" s="73">
        <f t="shared" si="59"/>
        <v>0</v>
      </c>
      <c r="N82" s="73">
        <f t="shared" si="60"/>
        <v>0</v>
      </c>
      <c r="O82" s="55">
        <f>Parámetros!$E69*12*I82*$P$14</f>
        <v>0</v>
      </c>
      <c r="P82" s="55">
        <f>Parámetros!$E69*12*J82*$P$14</f>
        <v>0</v>
      </c>
      <c r="Q82" s="70">
        <f t="shared" si="39"/>
        <v>0</v>
      </c>
      <c r="R82" s="70">
        <f t="shared" si="40"/>
        <v>0</v>
      </c>
      <c r="S82" s="68">
        <f t="shared" si="57"/>
        <v>0</v>
      </c>
      <c r="T82" s="68">
        <f t="shared" si="58"/>
        <v>0</v>
      </c>
      <c r="U82" s="177"/>
      <c r="V82" s="68">
        <f t="shared" si="51"/>
        <v>0</v>
      </c>
      <c r="W82" s="68">
        <f t="shared" si="52"/>
        <v>0</v>
      </c>
      <c r="X82" s="54">
        <f t="shared" si="67"/>
        <v>0</v>
      </c>
      <c r="Y82" s="54">
        <f t="shared" si="68"/>
        <v>0</v>
      </c>
      <c r="Z82" s="55">
        <f t="shared" si="53"/>
        <v>0</v>
      </c>
      <c r="AA82" s="55">
        <f t="shared" si="54"/>
        <v>0</v>
      </c>
      <c r="AB82" s="53">
        <f>D82*mmater*Parámetros!$G69*$X$5+AB81*(1+i_noc)</f>
        <v>0</v>
      </c>
      <c r="AC82" s="53">
        <f>E82*12*Parámetros!$F69*$X$5+AC81*(1+i_noc)</f>
        <v>1213309.003049101</v>
      </c>
      <c r="AD82" s="53"/>
      <c r="AE82" s="53"/>
      <c r="AF82" s="175"/>
      <c r="AG82" s="74">
        <f t="shared" si="64"/>
        <v>0</v>
      </c>
      <c r="AH82" s="52">
        <f t="shared" si="65"/>
        <v>0</v>
      </c>
      <c r="AI82" s="56">
        <f t="shared" si="41"/>
        <v>0</v>
      </c>
      <c r="AJ82" s="56">
        <f t="shared" si="42"/>
        <v>0</v>
      </c>
      <c r="AK82" s="56"/>
      <c r="AL82" s="56"/>
      <c r="AM82" s="56"/>
      <c r="AN82" s="56"/>
      <c r="AO82" s="56">
        <f t="shared" si="43"/>
        <v>0</v>
      </c>
      <c r="AP82" s="56">
        <f t="shared" si="44"/>
        <v>0</v>
      </c>
      <c r="AQ82" s="53">
        <f t="shared" si="45"/>
        <v>0</v>
      </c>
      <c r="AR82" s="53">
        <f t="shared" si="46"/>
        <v>0</v>
      </c>
      <c r="AS82" s="39"/>
      <c r="AT82" s="68">
        <f t="shared" si="47"/>
        <v>0</v>
      </c>
      <c r="AU82" s="68">
        <f t="shared" si="48"/>
        <v>0</v>
      </c>
      <c r="AV82" s="68">
        <f t="shared" si="49"/>
        <v>0</v>
      </c>
      <c r="AW82" s="68">
        <f t="shared" si="66"/>
        <v>0</v>
      </c>
      <c r="AX82" s="39"/>
      <c r="AY82" s="39"/>
    </row>
    <row r="83" spans="1:51" x14ac:dyDescent="0.25">
      <c r="A83" s="30">
        <v>2048</v>
      </c>
      <c r="B83" s="33">
        <f>w_uf*UF*Parámetros!C70</f>
        <v>1158721.9033563409</v>
      </c>
      <c r="C83" s="30">
        <f t="shared" si="61"/>
        <v>69</v>
      </c>
      <c r="D83" s="30">
        <f>((A83=Inputs!$C$12)*(Inputs!$D$12) + (A83=Inputs!$C$13)*(Inputs!$D$13) + (A83=Inputs!$C$14)*(Inputs!$D$14)) *(A83 &gt;= a_afil)*(A83&gt;=2024)</f>
        <v>0</v>
      </c>
      <c r="E83" s="30">
        <f>MIN(1,(A83=Inputs!$C$19)*Inputs!$D$19+(A83=Inputs!$C$20)*Inputs!$D$20+(A83=Inputs!$C$21)*Inputs!$D$21*(A83 &gt;= a_afil))</f>
        <v>0</v>
      </c>
      <c r="F83" s="30">
        <f t="shared" si="62"/>
        <v>0</v>
      </c>
      <c r="G83" s="30">
        <f t="shared" si="63"/>
        <v>0</v>
      </c>
      <c r="H83" s="30">
        <v>0.80426716804504395</v>
      </c>
      <c r="I83" s="37">
        <f t="shared" si="36"/>
        <v>0</v>
      </c>
      <c r="J83" s="37">
        <f t="shared" si="37"/>
        <v>0</v>
      </c>
      <c r="K83" s="30">
        <f>1*OR(Inputs!$D$17=$A83,Inputs!$E$17=$A83)*($E83=0)*(F83=1)</f>
        <v>0</v>
      </c>
      <c r="L83" s="30">
        <f>1*OR(Inputs!$D$17=$A83,Inputs!$E$17=$A83)*($E83=0)*(G83=1)</f>
        <v>0</v>
      </c>
      <c r="M83" s="73">
        <f t="shared" si="59"/>
        <v>0</v>
      </c>
      <c r="N83" s="73">
        <f t="shared" si="60"/>
        <v>0</v>
      </c>
      <c r="O83" s="55">
        <f>Parámetros!$E70*12*I83*$P$14</f>
        <v>0</v>
      </c>
      <c r="P83" s="55">
        <f>Parámetros!$E70*12*J83*$P$14</f>
        <v>0</v>
      </c>
      <c r="Q83" s="70">
        <f t="shared" si="39"/>
        <v>0</v>
      </c>
      <c r="R83" s="70">
        <f t="shared" si="40"/>
        <v>0</v>
      </c>
      <c r="S83" s="68">
        <f t="shared" si="57"/>
        <v>0</v>
      </c>
      <c r="T83" s="68">
        <f t="shared" si="58"/>
        <v>0</v>
      </c>
      <c r="U83" s="177"/>
      <c r="V83" s="68">
        <f t="shared" si="51"/>
        <v>0</v>
      </c>
      <c r="W83" s="68">
        <f t="shared" si="52"/>
        <v>0</v>
      </c>
      <c r="X83" s="54">
        <f t="shared" si="67"/>
        <v>0</v>
      </c>
      <c r="Y83" s="54">
        <f t="shared" si="68"/>
        <v>0</v>
      </c>
      <c r="Z83" s="55">
        <f t="shared" si="53"/>
        <v>0</v>
      </c>
      <c r="AA83" s="55">
        <f t="shared" si="54"/>
        <v>0</v>
      </c>
      <c r="AB83" s="53">
        <f>D83*mmater*Parámetros!$G70*$X$5+AB82*(1+i_noc)</f>
        <v>0</v>
      </c>
      <c r="AC83" s="53">
        <f>E83*12*Parámetros!$F70*$X$5+AC82*(1+i_noc)</f>
        <v>1237575.183110083</v>
      </c>
      <c r="AD83" s="53"/>
      <c r="AE83" s="53"/>
      <c r="AF83" s="175"/>
      <c r="AG83" s="74">
        <f t="shared" si="64"/>
        <v>0</v>
      </c>
      <c r="AH83" s="52">
        <f t="shared" si="65"/>
        <v>0</v>
      </c>
      <c r="AI83" s="56">
        <f t="shared" si="41"/>
        <v>0</v>
      </c>
      <c r="AJ83" s="56">
        <f t="shared" si="42"/>
        <v>0</v>
      </c>
      <c r="AK83" s="56"/>
      <c r="AL83" s="56"/>
      <c r="AM83" s="56"/>
      <c r="AN83" s="56"/>
      <c r="AO83" s="56">
        <f t="shared" si="43"/>
        <v>0</v>
      </c>
      <c r="AP83" s="56">
        <f t="shared" si="44"/>
        <v>0</v>
      </c>
      <c r="AQ83" s="53">
        <f t="shared" si="45"/>
        <v>0</v>
      </c>
      <c r="AR83" s="53">
        <f t="shared" si="46"/>
        <v>0</v>
      </c>
      <c r="AS83" s="39"/>
      <c r="AT83" s="68">
        <f t="shared" si="47"/>
        <v>0</v>
      </c>
      <c r="AU83" s="68">
        <f t="shared" si="48"/>
        <v>0</v>
      </c>
      <c r="AV83" s="68">
        <f t="shared" si="49"/>
        <v>0</v>
      </c>
      <c r="AW83" s="68">
        <f t="shared" si="66"/>
        <v>0</v>
      </c>
      <c r="AX83" s="39"/>
      <c r="AY83" s="39"/>
    </row>
    <row r="84" spans="1:51" x14ac:dyDescent="0.25">
      <c r="A84" s="30">
        <v>2049</v>
      </c>
      <c r="B84" s="33">
        <f>w_uf*UF*Parámetros!C71</f>
        <v>1173205.9271482951</v>
      </c>
      <c r="C84" s="30">
        <f t="shared" si="61"/>
        <v>70</v>
      </c>
      <c r="D84" s="30">
        <f>((A84=Inputs!$C$12)*(Inputs!$D$12) + (A84=Inputs!$C$13)*(Inputs!$D$13) + (A84=Inputs!$C$14)*(Inputs!$D$14)) *(A84 &gt;= a_afil)*(A84&gt;=2024)</f>
        <v>0</v>
      </c>
      <c r="E84" s="30">
        <f>MIN(1,(A84=Inputs!$C$19)*Inputs!$D$19+(A84=Inputs!$C$20)*Inputs!$D$20+(A84=Inputs!$C$21)*Inputs!$D$21*(A84 &gt;= a_afil))</f>
        <v>0</v>
      </c>
      <c r="F84" s="30">
        <f t="shared" si="62"/>
        <v>0</v>
      </c>
      <c r="G84" s="30">
        <f t="shared" si="63"/>
        <v>0</v>
      </c>
      <c r="H84" s="30">
        <v>0.67482608556747437</v>
      </c>
      <c r="I84" s="37">
        <f t="shared" si="36"/>
        <v>0</v>
      </c>
      <c r="J84" s="37">
        <f t="shared" si="37"/>
        <v>0</v>
      </c>
      <c r="K84" s="30">
        <f>1*OR(Inputs!$D$17=$A84,Inputs!$E$17=$A84)*($E84=0)*(F84=1)</f>
        <v>0</v>
      </c>
      <c r="L84" s="30">
        <f>1*OR(Inputs!$D$17=$A84,Inputs!$E$17=$A84)*($E84=0)*(G84=1)</f>
        <v>0</v>
      </c>
      <c r="M84" s="73">
        <f t="shared" si="59"/>
        <v>0</v>
      </c>
      <c r="N84" s="73">
        <f t="shared" si="60"/>
        <v>0</v>
      </c>
      <c r="O84" s="55">
        <f>Parámetros!$E71*12*I84*$P$14</f>
        <v>0</v>
      </c>
      <c r="P84" s="55">
        <f>Parámetros!$E71*12*J84*$P$14</f>
        <v>0</v>
      </c>
      <c r="Q84" s="70">
        <f t="shared" si="39"/>
        <v>0</v>
      </c>
      <c r="R84" s="70">
        <f t="shared" si="40"/>
        <v>0</v>
      </c>
      <c r="S84" s="68">
        <f t="shared" si="57"/>
        <v>0</v>
      </c>
      <c r="T84" s="68">
        <f t="shared" si="58"/>
        <v>0</v>
      </c>
      <c r="U84" s="177"/>
      <c r="V84" s="68">
        <f t="shared" si="51"/>
        <v>0</v>
      </c>
      <c r="W84" s="68">
        <f t="shared" si="52"/>
        <v>0</v>
      </c>
      <c r="X84" s="54">
        <f t="shared" si="67"/>
        <v>0</v>
      </c>
      <c r="Y84" s="54">
        <f t="shared" si="68"/>
        <v>0</v>
      </c>
      <c r="Z84" s="55">
        <f t="shared" si="53"/>
        <v>0</v>
      </c>
      <c r="AA84" s="55">
        <f t="shared" si="54"/>
        <v>0</v>
      </c>
      <c r="AB84" s="53">
        <f>D84*mmater*Parámetros!$G71*$X$5+AB83*(1+i_noc)</f>
        <v>0</v>
      </c>
      <c r="AC84" s="53">
        <f>E84*12*Parámetros!$F71*$X$5+AC83*(1+i_noc)</f>
        <v>1262326.6867722846</v>
      </c>
      <c r="AD84" s="53"/>
      <c r="AE84" s="53"/>
      <c r="AF84" s="175"/>
      <c r="AG84" s="74">
        <f t="shared" si="64"/>
        <v>0</v>
      </c>
      <c r="AH84" s="52">
        <f t="shared" si="65"/>
        <v>0</v>
      </c>
      <c r="AI84" s="56">
        <f t="shared" si="41"/>
        <v>0</v>
      </c>
      <c r="AJ84" s="56">
        <f t="shared" si="42"/>
        <v>0</v>
      </c>
      <c r="AK84" s="56"/>
      <c r="AL84" s="56"/>
      <c r="AM84" s="56"/>
      <c r="AN84" s="56"/>
      <c r="AO84" s="56">
        <f t="shared" si="43"/>
        <v>0</v>
      </c>
      <c r="AP84" s="56">
        <f t="shared" si="44"/>
        <v>0</v>
      </c>
      <c r="AQ84" s="53">
        <f t="shared" si="45"/>
        <v>0</v>
      </c>
      <c r="AR84" s="53">
        <f t="shared" si="46"/>
        <v>0</v>
      </c>
      <c r="AS84" s="39"/>
      <c r="AT84" s="68">
        <f t="shared" si="47"/>
        <v>0</v>
      </c>
      <c r="AU84" s="68">
        <f t="shared" si="48"/>
        <v>0</v>
      </c>
      <c r="AV84" s="68">
        <f t="shared" si="49"/>
        <v>0</v>
      </c>
      <c r="AW84" s="68">
        <f t="shared" si="66"/>
        <v>0</v>
      </c>
      <c r="AX84" s="39"/>
      <c r="AY84" s="39"/>
    </row>
    <row r="85" spans="1:51" x14ac:dyDescent="0.25">
      <c r="A85" s="30">
        <v>2050</v>
      </c>
      <c r="B85" s="33">
        <f>w_uf*UF*Parámetros!C72</f>
        <v>1187871.0012376488</v>
      </c>
      <c r="C85" s="30">
        <f t="shared" si="61"/>
        <v>71</v>
      </c>
      <c r="D85" s="30">
        <f>((A85=Inputs!$C$12)*(Inputs!$D$12) + (A85=Inputs!$C$13)*(Inputs!$D$13) + (A85=Inputs!$C$14)*(Inputs!$D$14)) *(A85 &gt;= a_afil)*(A85&gt;=2024)</f>
        <v>0</v>
      </c>
      <c r="E85" s="30">
        <f>MIN(1,(A85=Inputs!$C$19)*Inputs!$D$19+(A85=Inputs!$C$20)*Inputs!$D$20+(A85=Inputs!$C$21)*Inputs!$D$21*(A85 &gt;= a_afil))</f>
        <v>0</v>
      </c>
      <c r="F85" s="30">
        <f t="shared" si="62"/>
        <v>0</v>
      </c>
      <c r="G85" s="30">
        <f t="shared" si="63"/>
        <v>0</v>
      </c>
      <c r="H85" s="30">
        <v>0.90512931346893311</v>
      </c>
      <c r="I85" s="37">
        <f t="shared" si="36"/>
        <v>0</v>
      </c>
      <c r="J85" s="37">
        <f t="shared" si="37"/>
        <v>0</v>
      </c>
      <c r="K85" s="30">
        <f>1*OR(Inputs!$D$17=$A85,Inputs!$E$17=$A85)*($E85=0)*(F85=1)</f>
        <v>0</v>
      </c>
      <c r="L85" s="30">
        <f>1*OR(Inputs!$D$17=$A85,Inputs!$E$17=$A85)*($E85=0)*(G85=1)</f>
        <v>0</v>
      </c>
      <c r="M85" s="73">
        <f t="shared" si="59"/>
        <v>0</v>
      </c>
      <c r="N85" s="73">
        <f t="shared" si="60"/>
        <v>0</v>
      </c>
      <c r="O85" s="55">
        <f>Parámetros!$E72*12*I85*$P$14</f>
        <v>0</v>
      </c>
      <c r="P85" s="55">
        <f>Parámetros!$E72*12*J85*$P$14</f>
        <v>0</v>
      </c>
      <c r="Q85" s="70">
        <f t="shared" si="39"/>
        <v>0</v>
      </c>
      <c r="R85" s="70">
        <f t="shared" si="40"/>
        <v>0</v>
      </c>
      <c r="S85" s="68">
        <f t="shared" si="57"/>
        <v>0</v>
      </c>
      <c r="T85" s="68">
        <f t="shared" si="58"/>
        <v>0</v>
      </c>
      <c r="U85" s="177"/>
      <c r="V85" s="68">
        <f t="shared" si="51"/>
        <v>0</v>
      </c>
      <c r="W85" s="68">
        <f t="shared" si="52"/>
        <v>0</v>
      </c>
      <c r="X85" s="54">
        <f t="shared" si="67"/>
        <v>0</v>
      </c>
      <c r="Y85" s="54">
        <f t="shared" si="68"/>
        <v>0</v>
      </c>
      <c r="Z85" s="55">
        <f t="shared" si="53"/>
        <v>0</v>
      </c>
      <c r="AA85" s="55">
        <f t="shared" si="54"/>
        <v>0</v>
      </c>
      <c r="AB85" s="53">
        <f>D85*mmater*Parámetros!$G72*$X$5+AB84*(1+i_noc)</f>
        <v>0</v>
      </c>
      <c r="AC85" s="53">
        <f>E85*12*Parámetros!$F72*$X$5+AC84*(1+i_noc)</f>
        <v>1287573.2205077303</v>
      </c>
      <c r="AD85" s="53"/>
      <c r="AE85" s="53"/>
      <c r="AF85" s="175"/>
      <c r="AG85" s="74">
        <f t="shared" si="64"/>
        <v>0</v>
      </c>
      <c r="AH85" s="52">
        <f t="shared" si="65"/>
        <v>0</v>
      </c>
      <c r="AI85" s="56">
        <f t="shared" si="41"/>
        <v>0</v>
      </c>
      <c r="AJ85" s="56">
        <f t="shared" si="42"/>
        <v>0</v>
      </c>
      <c r="AK85" s="56"/>
      <c r="AL85" s="56"/>
      <c r="AM85" s="56"/>
      <c r="AN85" s="56"/>
      <c r="AO85" s="56">
        <f t="shared" si="43"/>
        <v>0</v>
      </c>
      <c r="AP85" s="56">
        <f t="shared" si="44"/>
        <v>0</v>
      </c>
      <c r="AQ85" s="53">
        <f t="shared" si="45"/>
        <v>0</v>
      </c>
      <c r="AR85" s="53">
        <f t="shared" si="46"/>
        <v>0</v>
      </c>
      <c r="AS85" s="39"/>
      <c r="AT85" s="68">
        <f t="shared" si="47"/>
        <v>0</v>
      </c>
      <c r="AU85" s="68">
        <f t="shared" si="48"/>
        <v>0</v>
      </c>
      <c r="AV85" s="68">
        <f t="shared" si="49"/>
        <v>0</v>
      </c>
      <c r="AW85" s="68">
        <f t="shared" si="66"/>
        <v>0</v>
      </c>
      <c r="AX85" s="39"/>
      <c r="AY85" s="39"/>
    </row>
    <row r="86" spans="1:51" x14ac:dyDescent="0.25">
      <c r="A86" s="30">
        <v>2051</v>
      </c>
      <c r="B86" s="33">
        <f>w_uf*UF*Parámetros!C73</f>
        <v>1202719.3887531192</v>
      </c>
      <c r="C86" s="30">
        <f t="shared" si="61"/>
        <v>72</v>
      </c>
      <c r="D86" s="30">
        <f>((A86=Inputs!$C$12)*(Inputs!$D$12) + (A86=Inputs!$C$13)*(Inputs!$D$13) + (A86=Inputs!$C$14)*(Inputs!$D$14)) *(A86 &gt;= a_afil)*(A86&gt;=2024)</f>
        <v>0</v>
      </c>
      <c r="E86" s="30">
        <f>MIN(1,(A86=Inputs!$C$19)*Inputs!$D$19+(A86=Inputs!$C$20)*Inputs!$D$20+(A86=Inputs!$C$21)*Inputs!$D$21*(A86 &gt;= a_afil))</f>
        <v>0</v>
      </c>
      <c r="F86" s="30">
        <f t="shared" si="62"/>
        <v>0</v>
      </c>
      <c r="G86" s="30">
        <f t="shared" si="63"/>
        <v>0</v>
      </c>
      <c r="H86" s="30">
        <v>0.87577968835830688</v>
      </c>
      <c r="I86" s="37">
        <f t="shared" si="36"/>
        <v>0</v>
      </c>
      <c r="J86" s="37">
        <f t="shared" si="37"/>
        <v>0</v>
      </c>
      <c r="K86" s="30">
        <f>1*OR(Inputs!$D$17=$A86,Inputs!$E$17=$A86)*($E86=0)*(F86=1)</f>
        <v>0</v>
      </c>
      <c r="L86" s="30">
        <f>1*OR(Inputs!$D$17=$A86,Inputs!$E$17=$A86)*($E86=0)*(G86=1)</f>
        <v>0</v>
      </c>
      <c r="M86" s="73">
        <f t="shared" si="59"/>
        <v>0</v>
      </c>
      <c r="N86" s="73">
        <f t="shared" si="60"/>
        <v>0</v>
      </c>
      <c r="O86" s="55">
        <f>Parámetros!$E73*12*I86*$P$14</f>
        <v>0</v>
      </c>
      <c r="P86" s="55">
        <f>Parámetros!$E73*12*J86*$P$14</f>
        <v>0</v>
      </c>
      <c r="Q86" s="70">
        <f t="shared" si="39"/>
        <v>0</v>
      </c>
      <c r="R86" s="70">
        <f t="shared" si="40"/>
        <v>0</v>
      </c>
      <c r="S86" s="68">
        <f t="shared" si="57"/>
        <v>0</v>
      </c>
      <c r="T86" s="68">
        <f t="shared" si="58"/>
        <v>0</v>
      </c>
      <c r="U86" s="177"/>
      <c r="V86" s="68">
        <f t="shared" si="51"/>
        <v>0</v>
      </c>
      <c r="W86" s="68">
        <f t="shared" si="52"/>
        <v>0</v>
      </c>
      <c r="X86" s="54">
        <f t="shared" si="67"/>
        <v>0</v>
      </c>
      <c r="Y86" s="54">
        <f t="shared" si="68"/>
        <v>0</v>
      </c>
      <c r="Z86" s="55">
        <f t="shared" si="53"/>
        <v>0</v>
      </c>
      <c r="AA86" s="55">
        <f t="shared" si="54"/>
        <v>0</v>
      </c>
      <c r="AB86" s="53">
        <f>D86*mmater*Parámetros!$G73*$X$5+AB85*(1+i_noc)</f>
        <v>0</v>
      </c>
      <c r="AC86" s="53">
        <f>E86*12*Parámetros!$F73*$X$5+AC85*(1+i_noc)</f>
        <v>1313324.6849178849</v>
      </c>
      <c r="AD86" s="53"/>
      <c r="AE86" s="53"/>
      <c r="AF86" s="175"/>
      <c r="AG86" s="74">
        <f t="shared" si="64"/>
        <v>0</v>
      </c>
      <c r="AH86" s="52">
        <f t="shared" si="65"/>
        <v>0</v>
      </c>
      <c r="AI86" s="56">
        <f t="shared" si="41"/>
        <v>0</v>
      </c>
      <c r="AJ86" s="56">
        <f t="shared" si="42"/>
        <v>0</v>
      </c>
      <c r="AK86" s="56"/>
      <c r="AL86" s="56"/>
      <c r="AM86" s="56"/>
      <c r="AN86" s="56"/>
      <c r="AO86" s="56">
        <f t="shared" si="43"/>
        <v>0</v>
      </c>
      <c r="AP86" s="56">
        <f t="shared" si="44"/>
        <v>0</v>
      </c>
      <c r="AQ86" s="53">
        <f t="shared" si="45"/>
        <v>0</v>
      </c>
      <c r="AR86" s="53">
        <f t="shared" si="46"/>
        <v>0</v>
      </c>
      <c r="AS86" s="39"/>
      <c r="AT86" s="68">
        <f t="shared" si="47"/>
        <v>0</v>
      </c>
      <c r="AU86" s="68">
        <f t="shared" si="48"/>
        <v>0</v>
      </c>
      <c r="AV86" s="68">
        <f t="shared" si="49"/>
        <v>0</v>
      </c>
      <c r="AW86" s="68">
        <f t="shared" si="66"/>
        <v>0</v>
      </c>
      <c r="AX86" s="39"/>
      <c r="AY86" s="39"/>
    </row>
    <row r="87" spans="1:51" x14ac:dyDescent="0.25">
      <c r="A87" s="30">
        <v>2052</v>
      </c>
      <c r="B87" s="33">
        <f>w_uf*UF*Parámetros!C74</f>
        <v>1217753.3811125332</v>
      </c>
      <c r="C87" s="30">
        <f t="shared" si="61"/>
        <v>73</v>
      </c>
      <c r="D87" s="30">
        <f>((A87=Inputs!$C$12)*(Inputs!$D$12) + (A87=Inputs!$C$13)*(Inputs!$D$13) + (A87=Inputs!$C$14)*(Inputs!$D$14)) *(A87 &gt;= a_afil)*(A87&gt;=2024)</f>
        <v>0</v>
      </c>
      <c r="E87" s="30">
        <f>MIN(1,(A87=Inputs!$C$19)*Inputs!$D$19+(A87=Inputs!$C$20)*Inputs!$D$20+(A87=Inputs!$C$21)*Inputs!$D$21*(A87 &gt;= a_afil))</f>
        <v>0</v>
      </c>
      <c r="F87" s="30">
        <f t="shared" si="62"/>
        <v>0</v>
      </c>
      <c r="G87" s="30">
        <f t="shared" si="63"/>
        <v>0</v>
      </c>
      <c r="H87" s="30">
        <v>0.41664838790893555</v>
      </c>
      <c r="I87" s="37">
        <f t="shared" si="36"/>
        <v>0</v>
      </c>
      <c r="J87" s="37">
        <f t="shared" si="37"/>
        <v>0</v>
      </c>
      <c r="K87" s="30">
        <f>1*OR(Inputs!$D$17=$A87,Inputs!$E$17=$A87)*($E87=0)*(F87=1)</f>
        <v>0</v>
      </c>
      <c r="L87" s="30">
        <f>1*OR(Inputs!$D$17=$A87,Inputs!$E$17=$A87)*($E87=0)*(G87=1)</f>
        <v>0</v>
      </c>
      <c r="M87" s="73">
        <f t="shared" si="59"/>
        <v>0</v>
      </c>
      <c r="N87" s="73">
        <f t="shared" si="60"/>
        <v>0</v>
      </c>
      <c r="O87" s="55">
        <f>Parámetros!$E74*12*I87*$P$14</f>
        <v>0</v>
      </c>
      <c r="P87" s="55">
        <f>Parámetros!$E74*12*J87*$P$14</f>
        <v>0</v>
      </c>
      <c r="Q87" s="70">
        <f t="shared" si="39"/>
        <v>0</v>
      </c>
      <c r="R87" s="70">
        <f t="shared" si="40"/>
        <v>0</v>
      </c>
      <c r="S87" s="68">
        <f t="shared" si="57"/>
        <v>0</v>
      </c>
      <c r="T87" s="68">
        <f t="shared" si="58"/>
        <v>0</v>
      </c>
      <c r="U87" s="177"/>
      <c r="V87" s="68">
        <f t="shared" si="51"/>
        <v>0</v>
      </c>
      <c r="W87" s="68">
        <f t="shared" si="52"/>
        <v>0</v>
      </c>
      <c r="X87" s="54">
        <f t="shared" si="67"/>
        <v>0</v>
      </c>
      <c r="Y87" s="54">
        <f t="shared" si="68"/>
        <v>0</v>
      </c>
      <c r="Z87" s="55">
        <f t="shared" si="53"/>
        <v>0</v>
      </c>
      <c r="AA87" s="55">
        <f t="shared" si="54"/>
        <v>0</v>
      </c>
      <c r="AB87" s="53">
        <f>D87*mmater*Parámetros!$G74*$X$5+AB86*(1+i_noc)</f>
        <v>0</v>
      </c>
      <c r="AC87" s="53">
        <f>E87*12*Parámetros!$F74*$X$5+AC86*(1+i_noc)</f>
        <v>1339591.1786162425</v>
      </c>
      <c r="AD87" s="53"/>
      <c r="AE87" s="53"/>
      <c r="AF87" s="175"/>
      <c r="AG87" s="74">
        <f t="shared" si="64"/>
        <v>0</v>
      </c>
      <c r="AH87" s="52">
        <f t="shared" si="65"/>
        <v>0</v>
      </c>
      <c r="AI87" s="56">
        <f t="shared" si="41"/>
        <v>0</v>
      </c>
      <c r="AJ87" s="56">
        <f t="shared" si="42"/>
        <v>0</v>
      </c>
      <c r="AK87" s="56"/>
      <c r="AL87" s="56"/>
      <c r="AM87" s="56"/>
      <c r="AN87" s="56"/>
      <c r="AO87" s="56">
        <f t="shared" si="43"/>
        <v>0</v>
      </c>
      <c r="AP87" s="56">
        <f t="shared" si="44"/>
        <v>0</v>
      </c>
      <c r="AQ87" s="53">
        <f t="shared" si="45"/>
        <v>0</v>
      </c>
      <c r="AR87" s="53">
        <f t="shared" si="46"/>
        <v>0</v>
      </c>
      <c r="AS87" s="39"/>
      <c r="AT87" s="68">
        <f t="shared" si="47"/>
        <v>0</v>
      </c>
      <c r="AU87" s="68">
        <f t="shared" si="48"/>
        <v>0</v>
      </c>
      <c r="AV87" s="68">
        <f t="shared" si="49"/>
        <v>0</v>
      </c>
      <c r="AW87" s="68">
        <f t="shared" si="66"/>
        <v>0</v>
      </c>
      <c r="AX87" s="39"/>
      <c r="AY87" s="39"/>
    </row>
    <row r="88" spans="1:51" x14ac:dyDescent="0.25">
      <c r="A88" s="30">
        <v>2053</v>
      </c>
      <c r="B88" s="33">
        <f>w_uf*UF*Parámetros!C75</f>
        <v>1232975.2983764398</v>
      </c>
      <c r="C88" s="30">
        <f t="shared" si="61"/>
        <v>74</v>
      </c>
      <c r="D88" s="30">
        <f>((A88=Inputs!$C$12)*(Inputs!$D$12) + (A88=Inputs!$C$13)*(Inputs!$D$13) + (A88=Inputs!$C$14)*(Inputs!$D$14)) *(A88 &gt;= a_afil)*(A88&gt;=2024)</f>
        <v>0</v>
      </c>
      <c r="E88" s="30">
        <f>MIN(1,(A88=Inputs!$C$19)*Inputs!$D$19+(A88=Inputs!$C$20)*Inputs!$D$20+(A88=Inputs!$C$21)*Inputs!$D$21*(A88 &gt;= a_afil))</f>
        <v>0</v>
      </c>
      <c r="F88" s="30">
        <f t="shared" si="62"/>
        <v>0</v>
      </c>
      <c r="G88" s="30">
        <f t="shared" si="63"/>
        <v>0</v>
      </c>
      <c r="H88" s="30">
        <v>0.12308281660079956</v>
      </c>
      <c r="I88" s="37">
        <f t="shared" si="36"/>
        <v>0</v>
      </c>
      <c r="J88" s="37">
        <f t="shared" si="37"/>
        <v>0</v>
      </c>
      <c r="K88" s="30">
        <f>1*OR(Inputs!$D$17=$A88,Inputs!$E$17=$A88)*($E88=0)*(F88=1)</f>
        <v>0</v>
      </c>
      <c r="L88" s="30">
        <f>1*OR(Inputs!$D$17=$A88,Inputs!$E$17=$A88)*($E88=0)*(G88=1)</f>
        <v>0</v>
      </c>
      <c r="M88" s="73">
        <f t="shared" si="59"/>
        <v>0</v>
      </c>
      <c r="N88" s="73">
        <f t="shared" si="60"/>
        <v>0</v>
      </c>
      <c r="O88" s="55">
        <f>Parámetros!$E75*12*I88*$P$14</f>
        <v>0</v>
      </c>
      <c r="P88" s="55">
        <f>Parámetros!$E75*12*J88*$P$14</f>
        <v>0</v>
      </c>
      <c r="Q88" s="70">
        <f t="shared" si="39"/>
        <v>0</v>
      </c>
      <c r="R88" s="70">
        <f t="shared" si="40"/>
        <v>0</v>
      </c>
      <c r="S88" s="68">
        <f t="shared" si="57"/>
        <v>0</v>
      </c>
      <c r="T88" s="68">
        <f t="shared" si="58"/>
        <v>0</v>
      </c>
      <c r="U88" s="177"/>
      <c r="V88" s="68">
        <f t="shared" si="51"/>
        <v>0</v>
      </c>
      <c r="W88" s="68">
        <f t="shared" si="52"/>
        <v>0</v>
      </c>
      <c r="X88" s="54">
        <f t="shared" si="67"/>
        <v>0</v>
      </c>
      <c r="Y88" s="54">
        <f t="shared" si="68"/>
        <v>0</v>
      </c>
      <c r="Z88" s="55">
        <f t="shared" si="53"/>
        <v>0</v>
      </c>
      <c r="AA88" s="55">
        <f t="shared" si="54"/>
        <v>0</v>
      </c>
      <c r="AB88" s="53">
        <f>D88*mmater*Parámetros!$G75*$X$5+AB87*(1+i_noc)</f>
        <v>0</v>
      </c>
      <c r="AC88" s="53">
        <f>E88*12*Parámetros!$F75*$X$5+AC87*(1+i_noc)</f>
        <v>1366383.0021885673</v>
      </c>
      <c r="AD88" s="53"/>
      <c r="AE88" s="53"/>
      <c r="AF88" s="175"/>
      <c r="AG88" s="74">
        <f t="shared" si="64"/>
        <v>0</v>
      </c>
      <c r="AH88" s="52">
        <f t="shared" si="65"/>
        <v>0</v>
      </c>
      <c r="AI88" s="56">
        <f t="shared" si="41"/>
        <v>0</v>
      </c>
      <c r="AJ88" s="56">
        <f t="shared" si="42"/>
        <v>0</v>
      </c>
      <c r="AK88" s="56"/>
      <c r="AL88" s="56"/>
      <c r="AM88" s="56"/>
      <c r="AN88" s="56"/>
      <c r="AO88" s="56">
        <f t="shared" si="43"/>
        <v>0</v>
      </c>
      <c r="AP88" s="56">
        <f t="shared" si="44"/>
        <v>0</v>
      </c>
      <c r="AQ88" s="53">
        <f t="shared" si="45"/>
        <v>0</v>
      </c>
      <c r="AR88" s="53">
        <f t="shared" si="46"/>
        <v>0</v>
      </c>
      <c r="AS88" s="39"/>
      <c r="AT88" s="68">
        <f t="shared" si="47"/>
        <v>0</v>
      </c>
      <c r="AU88" s="68">
        <f t="shared" si="48"/>
        <v>0</v>
      </c>
      <c r="AV88" s="68">
        <f t="shared" si="49"/>
        <v>0</v>
      </c>
      <c r="AW88" s="68">
        <f t="shared" si="66"/>
        <v>0</v>
      </c>
      <c r="AX88" s="39"/>
      <c r="AY88" s="39"/>
    </row>
    <row r="89" spans="1:51" x14ac:dyDescent="0.25">
      <c r="A89" s="30">
        <v>2054</v>
      </c>
      <c r="B89" s="33">
        <f>w_uf*UF*Parámetros!C76</f>
        <v>1248387.4896061453</v>
      </c>
      <c r="C89" s="30">
        <f t="shared" si="61"/>
        <v>75</v>
      </c>
      <c r="D89" s="30">
        <f>((A89=Inputs!$C$12)*(Inputs!$D$12) + (A89=Inputs!$C$13)*(Inputs!$D$13) + (A89=Inputs!$C$14)*(Inputs!$D$14)) *(A89 &gt;= a_afil)*(A89&gt;=2024)</f>
        <v>0</v>
      </c>
      <c r="E89" s="30">
        <f>MIN(1,(A89=Inputs!$C$19)*Inputs!$D$19+(A89=Inputs!$C$20)*Inputs!$D$20+(A89=Inputs!$C$21)*Inputs!$D$21*(A89 &gt;= a_afil))</f>
        <v>0</v>
      </c>
      <c r="F89" s="30">
        <f t="shared" si="62"/>
        <v>0</v>
      </c>
      <c r="G89" s="30">
        <f t="shared" si="63"/>
        <v>0</v>
      </c>
      <c r="H89" s="30">
        <v>0.95415794849395752</v>
      </c>
      <c r="I89" s="37">
        <f t="shared" si="36"/>
        <v>0</v>
      </c>
      <c r="J89" s="37">
        <f t="shared" si="37"/>
        <v>0</v>
      </c>
      <c r="K89" s="30">
        <f>1*OR(Inputs!$D$17=$A89,Inputs!$E$17=$A89)*($E89=0)*(F89=1)</f>
        <v>0</v>
      </c>
      <c r="L89" s="30">
        <f>1*OR(Inputs!$D$17=$A89,Inputs!$E$17=$A89)*($E89=0)*(G89=1)</f>
        <v>0</v>
      </c>
      <c r="M89" s="73">
        <f t="shared" si="59"/>
        <v>0</v>
      </c>
      <c r="N89" s="73">
        <f t="shared" si="60"/>
        <v>0</v>
      </c>
      <c r="O89" s="55">
        <f>Parámetros!$E76*12*I89*$P$14</f>
        <v>0</v>
      </c>
      <c r="P89" s="55">
        <f>Parámetros!$E76*12*J89*$P$14</f>
        <v>0</v>
      </c>
      <c r="Q89" s="70">
        <f t="shared" si="39"/>
        <v>0</v>
      </c>
      <c r="R89" s="70">
        <f t="shared" si="40"/>
        <v>0</v>
      </c>
      <c r="S89" s="68">
        <f t="shared" si="57"/>
        <v>0</v>
      </c>
      <c r="T89" s="68">
        <f t="shared" si="58"/>
        <v>0</v>
      </c>
      <c r="U89" s="177"/>
      <c r="V89" s="68">
        <f t="shared" si="51"/>
        <v>0</v>
      </c>
      <c r="W89" s="68">
        <f t="shared" si="52"/>
        <v>0</v>
      </c>
      <c r="X89" s="54">
        <f t="shared" si="67"/>
        <v>0</v>
      </c>
      <c r="Y89" s="54">
        <f t="shared" si="68"/>
        <v>0</v>
      </c>
      <c r="Z89" s="55">
        <f t="shared" si="53"/>
        <v>0</v>
      </c>
      <c r="AA89" s="55">
        <f t="shared" si="54"/>
        <v>0</v>
      </c>
      <c r="AB89" s="53">
        <f>D89*mmater*Parámetros!$G76*$X$5+AB88*(1+i_noc)</f>
        <v>0</v>
      </c>
      <c r="AC89" s="53">
        <f>E89*12*Parámetros!$F76*$X$5+AC88*(1+i_noc)</f>
        <v>1393710.6622323387</v>
      </c>
      <c r="AD89" s="53"/>
      <c r="AE89" s="53"/>
      <c r="AF89" s="175"/>
      <c r="AG89" s="74">
        <f t="shared" si="64"/>
        <v>0</v>
      </c>
      <c r="AH89" s="52">
        <f t="shared" si="65"/>
        <v>0</v>
      </c>
      <c r="AI89" s="56">
        <f t="shared" si="41"/>
        <v>0</v>
      </c>
      <c r="AJ89" s="56">
        <f t="shared" si="42"/>
        <v>0</v>
      </c>
      <c r="AK89" s="56"/>
      <c r="AL89" s="56"/>
      <c r="AM89" s="56"/>
      <c r="AN89" s="56"/>
      <c r="AO89" s="56">
        <f t="shared" si="43"/>
        <v>0</v>
      </c>
      <c r="AP89" s="56">
        <f t="shared" si="44"/>
        <v>0</v>
      </c>
      <c r="AQ89" s="53">
        <f t="shared" si="45"/>
        <v>0</v>
      </c>
      <c r="AR89" s="53">
        <f t="shared" si="46"/>
        <v>0</v>
      </c>
      <c r="AS89" s="39"/>
      <c r="AT89" s="68">
        <f t="shared" si="47"/>
        <v>0</v>
      </c>
      <c r="AU89" s="68">
        <f t="shared" si="48"/>
        <v>0</v>
      </c>
      <c r="AV89" s="68">
        <f t="shared" si="49"/>
        <v>0</v>
      </c>
      <c r="AW89" s="68">
        <f t="shared" si="66"/>
        <v>0</v>
      </c>
      <c r="AX89" s="39"/>
      <c r="AY89" s="39"/>
    </row>
    <row r="90" spans="1:51" x14ac:dyDescent="0.25">
      <c r="A90" s="30">
        <v>2055</v>
      </c>
      <c r="B90" s="33">
        <f>w_uf*UF*Parámetros!C77</f>
        <v>1263992.3332262221</v>
      </c>
      <c r="C90" s="30">
        <f t="shared" si="61"/>
        <v>76</v>
      </c>
      <c r="D90" s="30">
        <f>((A90=Inputs!$C$12)*(Inputs!$D$12) + (A90=Inputs!$C$13)*(Inputs!$D$13) + (A90=Inputs!$C$14)*(Inputs!$D$14)) *(A90 &gt;= a_afil)*(A90&gt;=2024)</f>
        <v>0</v>
      </c>
      <c r="E90" s="30">
        <f>MIN(1,(A90=Inputs!$C$19)*Inputs!$D$19+(A90=Inputs!$C$20)*Inputs!$D$20+(A90=Inputs!$C$21)*Inputs!$D$21*(A90 &gt;= a_afil))</f>
        <v>0</v>
      </c>
      <c r="F90" s="30">
        <f t="shared" si="62"/>
        <v>0</v>
      </c>
      <c r="G90" s="30">
        <f t="shared" si="63"/>
        <v>0</v>
      </c>
      <c r="H90" s="30">
        <v>0.79729729890823364</v>
      </c>
      <c r="I90" s="37">
        <f t="shared" ref="I90:I121" si="69">IF(F90=1,+dens_cot,0)</f>
        <v>0</v>
      </c>
      <c r="J90" s="37">
        <f t="shared" ref="J90:J134" si="70">IF(G90=1,+dens_mujer,0)</f>
        <v>0</v>
      </c>
      <c r="K90" s="30">
        <f>1*OR(Inputs!$D$17=$A90,Inputs!$E$17=$A90)*($E90=0)*(F90=1)</f>
        <v>0</v>
      </c>
      <c r="L90" s="30">
        <f>1*OR(Inputs!$D$17=$A90,Inputs!$E$17=$A90)*($E90=0)*(G90=1)</f>
        <v>0</v>
      </c>
      <c r="M90" s="73">
        <f t="shared" si="59"/>
        <v>0</v>
      </c>
      <c r="N90" s="73">
        <f t="shared" si="60"/>
        <v>0</v>
      </c>
      <c r="O90" s="55">
        <f>Parámetros!$E77*12*I90*$P$14</f>
        <v>0</v>
      </c>
      <c r="P90" s="55">
        <f>Parámetros!$E77*12*J90*$P$14</f>
        <v>0</v>
      </c>
      <c r="Q90" s="70">
        <f t="shared" si="39"/>
        <v>0</v>
      </c>
      <c r="R90" s="70">
        <f t="shared" si="40"/>
        <v>0</v>
      </c>
      <c r="S90" s="68">
        <f t="shared" si="57"/>
        <v>0</v>
      </c>
      <c r="T90" s="68">
        <f t="shared" si="58"/>
        <v>0</v>
      </c>
      <c r="U90" s="177"/>
      <c r="V90" s="68">
        <f t="shared" si="51"/>
        <v>0</v>
      </c>
      <c r="W90" s="68">
        <f t="shared" si="52"/>
        <v>0</v>
      </c>
      <c r="X90" s="54">
        <f t="shared" si="67"/>
        <v>0</v>
      </c>
      <c r="Y90" s="54">
        <f t="shared" si="68"/>
        <v>0</v>
      </c>
      <c r="Z90" s="55">
        <f t="shared" si="53"/>
        <v>0</v>
      </c>
      <c r="AA90" s="55">
        <f t="shared" si="54"/>
        <v>0</v>
      </c>
      <c r="AB90" s="53">
        <f>D90*mmater*Parámetros!$G77*$X$5+AB89*(1+i_noc)</f>
        <v>0</v>
      </c>
      <c r="AC90" s="53">
        <f>E90*12*Parámetros!$F77*$X$5+AC89*(1+i_noc)</f>
        <v>1421584.8754769855</v>
      </c>
      <c r="AD90" s="53"/>
      <c r="AE90" s="53"/>
      <c r="AF90" s="175"/>
      <c r="AG90" s="74">
        <f t="shared" si="64"/>
        <v>0</v>
      </c>
      <c r="AH90" s="52">
        <f t="shared" si="65"/>
        <v>0</v>
      </c>
      <c r="AI90" s="56">
        <f t="shared" si="41"/>
        <v>0</v>
      </c>
      <c r="AJ90" s="56">
        <f t="shared" si="42"/>
        <v>0</v>
      </c>
      <c r="AK90" s="56"/>
      <c r="AL90" s="56"/>
      <c r="AM90" s="56"/>
      <c r="AN90" s="56"/>
      <c r="AO90" s="56">
        <f t="shared" si="43"/>
        <v>0</v>
      </c>
      <c r="AP90" s="56">
        <f t="shared" si="44"/>
        <v>0</v>
      </c>
      <c r="AQ90" s="53">
        <f t="shared" si="45"/>
        <v>0</v>
      </c>
      <c r="AR90" s="53">
        <f t="shared" si="46"/>
        <v>0</v>
      </c>
      <c r="AS90" s="39"/>
      <c r="AT90" s="68">
        <f t="shared" si="47"/>
        <v>0</v>
      </c>
      <c r="AU90" s="68">
        <f t="shared" si="48"/>
        <v>0</v>
      </c>
      <c r="AV90" s="68">
        <f t="shared" si="49"/>
        <v>0</v>
      </c>
      <c r="AW90" s="68">
        <f t="shared" si="66"/>
        <v>0</v>
      </c>
      <c r="AX90" s="39"/>
      <c r="AY90" s="39"/>
    </row>
    <row r="91" spans="1:51" x14ac:dyDescent="0.25">
      <c r="A91" s="30">
        <v>2056</v>
      </c>
      <c r="B91" s="33">
        <f>w_uf*UF*Parámetros!C78</f>
        <v>1279792.2373915499</v>
      </c>
      <c r="C91" s="30">
        <f t="shared" si="61"/>
        <v>77</v>
      </c>
      <c r="D91" s="30">
        <f>((A91=Inputs!$C$12)*(Inputs!$D$12) + (A91=Inputs!$C$13)*(Inputs!$D$13) + (A91=Inputs!$C$14)*(Inputs!$D$14)) *(A91 &gt;= a_afil)*(A91&gt;=2024)</f>
        <v>0</v>
      </c>
      <c r="E91" s="30">
        <f>MIN(1,(A91=Inputs!$C$19)*Inputs!$D$19+(A91=Inputs!$C$20)*Inputs!$D$20+(A91=Inputs!$C$21)*Inputs!$D$21*(A91 &gt;= a_afil))</f>
        <v>0</v>
      </c>
      <c r="F91" s="30">
        <f t="shared" si="62"/>
        <v>0</v>
      </c>
      <c r="G91" s="30">
        <f t="shared" si="63"/>
        <v>0</v>
      </c>
      <c r="H91" s="30">
        <v>0.69628500938415527</v>
      </c>
      <c r="I91" s="37">
        <f t="shared" si="69"/>
        <v>0</v>
      </c>
      <c r="J91" s="37">
        <f t="shared" si="70"/>
        <v>0</v>
      </c>
      <c r="K91" s="30">
        <f>1*OR(Inputs!$D$17=$A91,Inputs!$E$17=$A91)*($E91=0)*(F91=1)</f>
        <v>0</v>
      </c>
      <c r="L91" s="30">
        <f>1*OR(Inputs!$D$17=$A91,Inputs!$E$17=$A91)*($E91=0)*(G91=1)</f>
        <v>0</v>
      </c>
      <c r="M91" s="73">
        <f t="shared" si="59"/>
        <v>0</v>
      </c>
      <c r="N91" s="73">
        <f t="shared" si="60"/>
        <v>0</v>
      </c>
      <c r="O91" s="55">
        <f>Parámetros!$E78*12*I91*$P$14</f>
        <v>0</v>
      </c>
      <c r="P91" s="55">
        <f>Parámetros!$E78*12*J91*$P$14</f>
        <v>0</v>
      </c>
      <c r="Q91" s="70">
        <f t="shared" si="39"/>
        <v>0</v>
      </c>
      <c r="R91" s="70">
        <f t="shared" si="40"/>
        <v>0</v>
      </c>
      <c r="S91" s="68">
        <f t="shared" si="57"/>
        <v>0</v>
      </c>
      <c r="T91" s="68">
        <f t="shared" si="58"/>
        <v>0</v>
      </c>
      <c r="U91" s="177"/>
      <c r="V91" s="68">
        <f t="shared" si="51"/>
        <v>0</v>
      </c>
      <c r="W91" s="68">
        <f t="shared" si="52"/>
        <v>0</v>
      </c>
      <c r="X91" s="54">
        <f t="shared" si="67"/>
        <v>0</v>
      </c>
      <c r="Y91" s="54">
        <f t="shared" si="68"/>
        <v>0</v>
      </c>
      <c r="Z91" s="55">
        <f t="shared" si="53"/>
        <v>0</v>
      </c>
      <c r="AA91" s="55">
        <f t="shared" si="54"/>
        <v>0</v>
      </c>
      <c r="AB91" s="53">
        <f>D91*mmater*Parámetros!$G78*$X$5+AB90*(1+i_noc)</f>
        <v>0</v>
      </c>
      <c r="AC91" s="53">
        <f>E91*12*Parámetros!$F78*$X$5+AC90*(1+i_noc)</f>
        <v>1450016.5729865253</v>
      </c>
      <c r="AD91" s="53"/>
      <c r="AE91" s="53"/>
      <c r="AF91" s="175"/>
      <c r="AG91" s="74">
        <f t="shared" si="64"/>
        <v>0</v>
      </c>
      <c r="AH91" s="52">
        <f t="shared" si="65"/>
        <v>0</v>
      </c>
      <c r="AI91" s="56">
        <f t="shared" ref="AI91:AI122" si="71">($A91=D$9)*SUM(V91,Z91)/(12*_xlfn.XLOOKUP(AI$15,sexo_cnu,cnu))</f>
        <v>0</v>
      </c>
      <c r="AJ91" s="56">
        <f t="shared" ref="AJ91:AJ122" si="72">($A91=E$9)*SUM(W91,AA91)/(12*_xlfn.XLOOKUP(AJ$15,sexo_cnu,cnu))</f>
        <v>0</v>
      </c>
      <c r="AK91" s="56"/>
      <c r="AL91" s="56"/>
      <c r="AM91" s="56"/>
      <c r="AN91" s="56"/>
      <c r="AO91" s="56">
        <f t="shared" ref="AO91:AO122" si="73">($A91=E$9)*AB91/(12*_xlfn.XLOOKUP(AO$15,sexo_cnu,cnu_noc))</f>
        <v>0</v>
      </c>
      <c r="AP91" s="56">
        <f t="shared" ref="AP91:AP122" si="74">($A91=E$9)*AC91/(12*_xlfn.XLOOKUP(AP$15,sexo_cnu,cnu_noc))</f>
        <v>0</v>
      </c>
      <c r="AQ91" s="53">
        <f t="shared" ref="AQ91:AQ122" si="75">($A91=D$9)*AD91/(12*_xlfn.XLOOKUP(AQ$15,sexo_cnu,cnu_noc))</f>
        <v>0</v>
      </c>
      <c r="AR91" s="53">
        <f t="shared" ref="AR91:AR122" si="76">($A91=E$9)*AE91/(12*_xlfn.XLOOKUP(AR$15,sexo_cnu,cnu_noc))</f>
        <v>0</v>
      </c>
      <c r="AS91" s="39"/>
      <c r="AT91" s="68">
        <f t="shared" ref="AT91:AT122" si="77">IF($A91=a_nac+edad_ret_h,V91/(12*_xlfn.XLOOKUP(AT$15,sexo_cnu,cnu)),0)</f>
        <v>0</v>
      </c>
      <c r="AU91" s="68">
        <f t="shared" ref="AU91:AU122" si="78">IF($A91=a_nac+edad_ret_m,W91/(12*_xlfn.XLOOKUP(AU$15,sexo_cnu,cnu)),0)</f>
        <v>0</v>
      </c>
      <c r="AV91" s="68">
        <f t="shared" ref="AV91:AV122" si="79">IF($A91=a_nac+edad_ret_h,Z91/(12*_xlfn.XLOOKUP(AV$15,sexo_cnu,cnu)),0)</f>
        <v>0</v>
      </c>
      <c r="AW91" s="68">
        <f t="shared" si="66"/>
        <v>0</v>
      </c>
      <c r="AX91" s="39"/>
      <c r="AY91" s="39"/>
    </row>
    <row r="92" spans="1:51" x14ac:dyDescent="0.25">
      <c r="A92" s="30">
        <v>2057</v>
      </c>
      <c r="B92" s="33">
        <f>w_uf*UF*Parámetros!C79</f>
        <v>1295789.6403589442</v>
      </c>
      <c r="C92" s="30">
        <f t="shared" si="61"/>
        <v>78</v>
      </c>
      <c r="D92" s="30">
        <f>((A92=Inputs!$C$12)*(Inputs!$D$12) + (A92=Inputs!$C$13)*(Inputs!$D$13) + (A92=Inputs!$C$14)*(Inputs!$D$14)) *(A92 &gt;= a_afil)*(A92&gt;=2024)</f>
        <v>0</v>
      </c>
      <c r="E92" s="30">
        <f>MIN(1,(A92=Inputs!$C$19)*Inputs!$D$19+(A92=Inputs!$C$20)*Inputs!$D$20+(A92=Inputs!$C$21)*Inputs!$D$21*(A92 &gt;= a_afil))</f>
        <v>0</v>
      </c>
      <c r="F92" s="30">
        <f t="shared" si="62"/>
        <v>0</v>
      </c>
      <c r="G92" s="30">
        <f t="shared" si="63"/>
        <v>0</v>
      </c>
      <c r="H92" s="30">
        <v>0.40160459280014038</v>
      </c>
      <c r="I92" s="37">
        <f t="shared" si="69"/>
        <v>0</v>
      </c>
      <c r="J92" s="37">
        <f t="shared" si="70"/>
        <v>0</v>
      </c>
      <c r="K92" s="30">
        <f>1*OR(Inputs!$D$17=$A92,Inputs!$E$17=$A92)*($E92=0)*(F92=1)</f>
        <v>0</v>
      </c>
      <c r="L92" s="30">
        <f>1*OR(Inputs!$D$17=$A92,Inputs!$E$17=$A92)*($E92=0)*(G92=1)</f>
        <v>0</v>
      </c>
      <c r="M92" s="73">
        <f t="shared" si="59"/>
        <v>0</v>
      </c>
      <c r="N92" s="73">
        <f t="shared" si="60"/>
        <v>0</v>
      </c>
      <c r="O92" s="55">
        <f>Parámetros!$E79*12*I92*$P$14</f>
        <v>0</v>
      </c>
      <c r="P92" s="55">
        <f>Parámetros!$E79*12*J92*$P$14</f>
        <v>0</v>
      </c>
      <c r="Q92" s="70">
        <f t="shared" si="39"/>
        <v>0</v>
      </c>
      <c r="R92" s="70">
        <f t="shared" si="40"/>
        <v>0</v>
      </c>
      <c r="S92" s="68">
        <f t="shared" si="57"/>
        <v>0</v>
      </c>
      <c r="T92" s="68">
        <f t="shared" si="58"/>
        <v>0</v>
      </c>
      <c r="U92" s="177"/>
      <c r="V92" s="68">
        <f t="shared" si="51"/>
        <v>0</v>
      </c>
      <c r="W92" s="68">
        <f t="shared" si="52"/>
        <v>0</v>
      </c>
      <c r="X92" s="54">
        <f t="shared" si="67"/>
        <v>0</v>
      </c>
      <c r="Y92" s="54">
        <f t="shared" si="68"/>
        <v>0</v>
      </c>
      <c r="Z92" s="55">
        <f t="shared" si="53"/>
        <v>0</v>
      </c>
      <c r="AA92" s="55">
        <f t="shared" si="54"/>
        <v>0</v>
      </c>
      <c r="AB92" s="53">
        <f>D92*mmater*Parámetros!$G79*$X$5+AB91*(1+i_noc)</f>
        <v>0</v>
      </c>
      <c r="AC92" s="53">
        <f>E92*12*Parámetros!$F79*$X$5+AC91*(1+i_noc)</f>
        <v>1479016.9044462559</v>
      </c>
      <c r="AD92" s="53"/>
      <c r="AE92" s="53"/>
      <c r="AF92" s="175"/>
      <c r="AG92" s="74">
        <f t="shared" si="64"/>
        <v>0</v>
      </c>
      <c r="AH92" s="52">
        <f t="shared" si="65"/>
        <v>0</v>
      </c>
      <c r="AI92" s="56">
        <f t="shared" si="71"/>
        <v>0</v>
      </c>
      <c r="AJ92" s="56">
        <f t="shared" si="72"/>
        <v>0</v>
      </c>
      <c r="AK92" s="56"/>
      <c r="AL92" s="56"/>
      <c r="AM92" s="56"/>
      <c r="AN92" s="56"/>
      <c r="AO92" s="56">
        <f t="shared" si="73"/>
        <v>0</v>
      </c>
      <c r="AP92" s="56">
        <f t="shared" si="74"/>
        <v>0</v>
      </c>
      <c r="AQ92" s="53">
        <f t="shared" si="75"/>
        <v>0</v>
      </c>
      <c r="AR92" s="53">
        <f t="shared" si="76"/>
        <v>0</v>
      </c>
      <c r="AS92" s="39"/>
      <c r="AT92" s="68">
        <f t="shared" si="77"/>
        <v>0</v>
      </c>
      <c r="AU92" s="68">
        <f t="shared" si="78"/>
        <v>0</v>
      </c>
      <c r="AV92" s="68">
        <f t="shared" si="79"/>
        <v>0</v>
      </c>
      <c r="AW92" s="68">
        <f t="shared" si="66"/>
        <v>0</v>
      </c>
      <c r="AX92" s="39"/>
      <c r="AY92" s="39"/>
    </row>
    <row r="93" spans="1:51" x14ac:dyDescent="0.25">
      <c r="A93" s="30">
        <v>2058</v>
      </c>
      <c r="B93" s="33">
        <f>w_uf*UF*Parámetros!C80</f>
        <v>1311987.010863431</v>
      </c>
      <c r="C93" s="30">
        <f t="shared" si="61"/>
        <v>79</v>
      </c>
      <c r="D93" s="30">
        <f>((A93=Inputs!$C$12)*(Inputs!$D$12) + (A93=Inputs!$C$13)*(Inputs!$D$13) + (A93=Inputs!$C$14)*(Inputs!$D$14)) *(A93 &gt;= a_afil)*(A93&gt;=2024)</f>
        <v>0</v>
      </c>
      <c r="E93" s="30">
        <f>MIN(1,(A93=Inputs!$C$19)*Inputs!$D$19+(A93=Inputs!$C$20)*Inputs!$D$20+(A93=Inputs!$C$21)*Inputs!$D$21*(A93 &gt;= a_afil))</f>
        <v>0</v>
      </c>
      <c r="F93" s="30">
        <f t="shared" si="62"/>
        <v>0</v>
      </c>
      <c r="G93" s="30">
        <f t="shared" si="63"/>
        <v>0</v>
      </c>
      <c r="H93" s="30">
        <v>1.6297698020935059E-2</v>
      </c>
      <c r="I93" s="37">
        <f t="shared" si="69"/>
        <v>0</v>
      </c>
      <c r="J93" s="37">
        <f t="shared" si="70"/>
        <v>0</v>
      </c>
      <c r="K93" s="30">
        <f>1*OR(Inputs!$D$17=$A93,Inputs!$E$17=$A93)*($E93=0)*(F93=1)</f>
        <v>0</v>
      </c>
      <c r="L93" s="30">
        <f>1*OR(Inputs!$D$17=$A93,Inputs!$E$17=$A93)*($E93=0)*(G93=1)</f>
        <v>0</v>
      </c>
      <c r="M93" s="73">
        <f t="shared" si="59"/>
        <v>0</v>
      </c>
      <c r="N93" s="73">
        <f t="shared" si="60"/>
        <v>0</v>
      </c>
      <c r="O93" s="55">
        <f>Parámetros!$E80*12*I93*$P$14</f>
        <v>0</v>
      </c>
      <c r="P93" s="55">
        <f>Parámetros!$E80*12*J93*$P$14</f>
        <v>0</v>
      </c>
      <c r="Q93" s="70">
        <f t="shared" si="39"/>
        <v>0</v>
      </c>
      <c r="R93" s="70">
        <f t="shared" si="40"/>
        <v>0</v>
      </c>
      <c r="S93" s="68">
        <f t="shared" si="57"/>
        <v>0</v>
      </c>
      <c r="T93" s="68">
        <f t="shared" si="58"/>
        <v>0</v>
      </c>
      <c r="U93" s="177"/>
      <c r="V93" s="68">
        <f t="shared" ref="V93:V124" si="80">M93*alpha+O93*(1-alpha)+F92*V92*(1+_xlfn.XLOOKUP(MIN(2024,$A92),agnos_rent,rent_base))*(1-$X$6)</f>
        <v>0</v>
      </c>
      <c r="W93" s="68">
        <f t="shared" ref="W93:W124" si="81">N93*alpha+P93*(1-alpha)+G92*W92*(1+_xlfn.XLOOKUP(MIN(2024,$A92),agnos_rent,rent_base))*(1-$X$6)</f>
        <v>0</v>
      </c>
      <c r="X93" s="54">
        <f t="shared" si="67"/>
        <v>0</v>
      </c>
      <c r="Y93" s="54">
        <f t="shared" si="68"/>
        <v>0</v>
      </c>
      <c r="Z93" s="55">
        <f t="shared" ref="Z93:Z124" si="82">F92*Z92*(1+_xlfn.XLOOKUP(MIN(2024,$A92),agnos_rent,rent_base))*(1-$X$6)+S93</f>
        <v>0</v>
      </c>
      <c r="AA93" s="55">
        <f t="shared" ref="AA93:AA124" si="83">G92*AA92*(1+_xlfn.XLOOKUP(MIN(2024,$A92),agnos_rent,rent_base))*(1-$X$6)+T93</f>
        <v>0</v>
      </c>
      <c r="AB93" s="53">
        <f>D93*mmater*Parámetros!$G80*$X$5+AB92*(1+i_noc)</f>
        <v>0</v>
      </c>
      <c r="AC93" s="53">
        <f>E93*12*Parámetros!$F80*$X$5+AC92*(1+i_noc)</f>
        <v>1508597.2425351811</v>
      </c>
      <c r="AD93" s="53"/>
      <c r="AE93" s="53"/>
      <c r="AF93" s="175"/>
      <c r="AG93" s="74">
        <f t="shared" si="64"/>
        <v>0</v>
      </c>
      <c r="AH93" s="52">
        <f t="shared" si="65"/>
        <v>0</v>
      </c>
      <c r="AI93" s="56">
        <f t="shared" si="71"/>
        <v>0</v>
      </c>
      <c r="AJ93" s="56">
        <f t="shared" si="72"/>
        <v>0</v>
      </c>
      <c r="AK93" s="56"/>
      <c r="AL93" s="56"/>
      <c r="AM93" s="56"/>
      <c r="AN93" s="56"/>
      <c r="AO93" s="56">
        <f t="shared" si="73"/>
        <v>0</v>
      </c>
      <c r="AP93" s="56">
        <f t="shared" si="74"/>
        <v>0</v>
      </c>
      <c r="AQ93" s="53">
        <f t="shared" si="75"/>
        <v>0</v>
      </c>
      <c r="AR93" s="53">
        <f t="shared" si="76"/>
        <v>0</v>
      </c>
      <c r="AS93" s="39"/>
      <c r="AT93" s="68">
        <f t="shared" si="77"/>
        <v>0</v>
      </c>
      <c r="AU93" s="68">
        <f t="shared" si="78"/>
        <v>0</v>
      </c>
      <c r="AV93" s="68">
        <f t="shared" si="79"/>
        <v>0</v>
      </c>
      <c r="AW93" s="68">
        <f t="shared" si="66"/>
        <v>0</v>
      </c>
      <c r="AX93" s="39"/>
      <c r="AY93" s="39"/>
    </row>
    <row r="94" spans="1:51" x14ac:dyDescent="0.25">
      <c r="A94" s="30">
        <v>2059</v>
      </c>
      <c r="B94" s="33">
        <f>w_uf*UF*Parámetros!C81</f>
        <v>1328386.8484992238</v>
      </c>
      <c r="C94" s="30">
        <f t="shared" si="61"/>
        <v>80</v>
      </c>
      <c r="D94" s="30">
        <f>((A94=Inputs!$C$12)*(Inputs!$D$12) + (A94=Inputs!$C$13)*(Inputs!$D$13) + (A94=Inputs!$C$14)*(Inputs!$D$14)) *(A94 &gt;= a_afil)*(A94&gt;=2024)</f>
        <v>0</v>
      </c>
      <c r="E94" s="30">
        <f>MIN(1,(A94=Inputs!$C$19)*Inputs!$D$19+(A94=Inputs!$C$20)*Inputs!$D$20+(A94=Inputs!$C$21)*Inputs!$D$21*(A94 &gt;= a_afil))</f>
        <v>0</v>
      </c>
      <c r="F94" s="30">
        <f t="shared" si="62"/>
        <v>0</v>
      </c>
      <c r="G94" s="30">
        <f t="shared" si="63"/>
        <v>0</v>
      </c>
      <c r="H94" s="30">
        <v>0.16776281595230103</v>
      </c>
      <c r="I94" s="37">
        <f t="shared" si="69"/>
        <v>0</v>
      </c>
      <c r="J94" s="37">
        <f t="shared" si="70"/>
        <v>0</v>
      </c>
      <c r="K94" s="30">
        <f>1*OR(Inputs!$D$17=$A94,Inputs!$E$17=$A94)*($E94=0)*(F94=1)</f>
        <v>0</v>
      </c>
      <c r="L94" s="30">
        <f>1*OR(Inputs!$D$17=$A94,Inputs!$E$17=$A94)*($E94=0)*(G94=1)</f>
        <v>0</v>
      </c>
      <c r="M94" s="73">
        <f t="shared" si="59"/>
        <v>0</v>
      </c>
      <c r="N94" s="73">
        <f t="shared" si="60"/>
        <v>0</v>
      </c>
      <c r="O94" s="55">
        <f>Parámetros!$E81*12*I94*$P$14</f>
        <v>0</v>
      </c>
      <c r="P94" s="55">
        <f>Parámetros!$E81*12*J94*$P$14</f>
        <v>0</v>
      </c>
      <c r="Q94" s="70">
        <f t="shared" si="39"/>
        <v>0</v>
      </c>
      <c r="R94" s="70">
        <f t="shared" si="40"/>
        <v>0</v>
      </c>
      <c r="S94" s="68">
        <f t="shared" si="57"/>
        <v>0</v>
      </c>
      <c r="T94" s="68">
        <f t="shared" si="58"/>
        <v>0</v>
      </c>
      <c r="U94" s="177"/>
      <c r="V94" s="68">
        <f t="shared" si="80"/>
        <v>0</v>
      </c>
      <c r="W94" s="68">
        <f t="shared" si="81"/>
        <v>0</v>
      </c>
      <c r="X94" s="54">
        <f t="shared" si="67"/>
        <v>0</v>
      </c>
      <c r="Y94" s="54">
        <f t="shared" si="68"/>
        <v>0</v>
      </c>
      <c r="Z94" s="55">
        <f t="shared" si="82"/>
        <v>0</v>
      </c>
      <c r="AA94" s="55">
        <f t="shared" si="83"/>
        <v>0</v>
      </c>
      <c r="AB94" s="53">
        <f>D94*mmater*Parámetros!$G81*$X$5+AB93*(1+i_noc)</f>
        <v>0</v>
      </c>
      <c r="AC94" s="53">
        <f>E94*12*Parámetros!$F81*$X$5+AC93*(1+i_noc)</f>
        <v>1538769.1873858848</v>
      </c>
      <c r="AD94" s="53"/>
      <c r="AE94" s="53"/>
      <c r="AF94" s="175"/>
      <c r="AG94" s="74">
        <f t="shared" si="64"/>
        <v>0</v>
      </c>
      <c r="AH94" s="52">
        <f t="shared" si="65"/>
        <v>0</v>
      </c>
      <c r="AI94" s="56">
        <f t="shared" si="71"/>
        <v>0</v>
      </c>
      <c r="AJ94" s="56">
        <f t="shared" si="72"/>
        <v>0</v>
      </c>
      <c r="AK94" s="56"/>
      <c r="AL94" s="56"/>
      <c r="AM94" s="56"/>
      <c r="AN94" s="56"/>
      <c r="AO94" s="56">
        <f t="shared" si="73"/>
        <v>0</v>
      </c>
      <c r="AP94" s="56">
        <f t="shared" si="74"/>
        <v>0</v>
      </c>
      <c r="AQ94" s="53">
        <f t="shared" si="75"/>
        <v>0</v>
      </c>
      <c r="AR94" s="53">
        <f t="shared" si="76"/>
        <v>0</v>
      </c>
      <c r="AS94" s="39"/>
      <c r="AT94" s="68">
        <f t="shared" si="77"/>
        <v>0</v>
      </c>
      <c r="AU94" s="68">
        <f t="shared" si="78"/>
        <v>0</v>
      </c>
      <c r="AV94" s="68">
        <f t="shared" si="79"/>
        <v>0</v>
      </c>
      <c r="AW94" s="68">
        <f t="shared" si="66"/>
        <v>0</v>
      </c>
      <c r="AX94" s="39"/>
      <c r="AY94" s="39"/>
    </row>
    <row r="95" spans="1:51" x14ac:dyDescent="0.25">
      <c r="A95" s="30">
        <v>2060</v>
      </c>
      <c r="B95" s="33">
        <f>w_uf*UF*Parámetros!C82</f>
        <v>1344991.6841054638</v>
      </c>
      <c r="C95" s="30">
        <f t="shared" si="61"/>
        <v>81</v>
      </c>
      <c r="D95" s="30">
        <f>((A95=Inputs!$C$12)*(Inputs!$D$12) + (A95=Inputs!$C$13)*(Inputs!$D$13) + (A95=Inputs!$C$14)*(Inputs!$D$14)) *(A95 &gt;= a_afil)*(A95&gt;=2024)</f>
        <v>0</v>
      </c>
      <c r="E95" s="30">
        <f>MIN(1,(A95=Inputs!$C$19)*Inputs!$D$19+(A95=Inputs!$C$20)*Inputs!$D$20+(A95=Inputs!$C$21)*Inputs!$D$21*(A95 &gt;= a_afil))</f>
        <v>0</v>
      </c>
      <c r="F95" s="30">
        <f t="shared" si="62"/>
        <v>0</v>
      </c>
      <c r="G95" s="30">
        <f t="shared" si="63"/>
        <v>0</v>
      </c>
      <c r="H95" s="30">
        <v>0.16423416137695313</v>
      </c>
      <c r="I95" s="37">
        <f t="shared" si="69"/>
        <v>0</v>
      </c>
      <c r="J95" s="37">
        <f t="shared" si="70"/>
        <v>0</v>
      </c>
      <c r="K95" s="30">
        <f>1*OR(Inputs!$D$17=$A95,Inputs!$E$17=$A95)*($E95=0)*(F95=1)</f>
        <v>0</v>
      </c>
      <c r="L95" s="30">
        <f>1*OR(Inputs!$D$17=$A95,Inputs!$E$17=$A95)*($E95=0)*(G95=1)</f>
        <v>0</v>
      </c>
      <c r="M95" s="73">
        <f t="shared" si="59"/>
        <v>0</v>
      </c>
      <c r="N95" s="73">
        <f t="shared" si="60"/>
        <v>0</v>
      </c>
      <c r="O95" s="55">
        <f>Parámetros!$E82*12*I95*$P$14</f>
        <v>0</v>
      </c>
      <c r="P95" s="55">
        <f>Parámetros!$E82*12*J95*$P$14</f>
        <v>0</v>
      </c>
      <c r="Q95" s="70">
        <f t="shared" si="39"/>
        <v>0</v>
      </c>
      <c r="R95" s="70">
        <f t="shared" si="40"/>
        <v>0</v>
      </c>
      <c r="S95" s="68">
        <f t="shared" si="57"/>
        <v>0</v>
      </c>
      <c r="T95" s="68">
        <f t="shared" si="58"/>
        <v>0</v>
      </c>
      <c r="U95" s="177"/>
      <c r="V95" s="68">
        <f t="shared" si="80"/>
        <v>0</v>
      </c>
      <c r="W95" s="68">
        <f t="shared" si="81"/>
        <v>0</v>
      </c>
      <c r="X95" s="54">
        <f t="shared" si="67"/>
        <v>0</v>
      </c>
      <c r="Y95" s="54">
        <f t="shared" si="68"/>
        <v>0</v>
      </c>
      <c r="Z95" s="55">
        <f t="shared" si="82"/>
        <v>0</v>
      </c>
      <c r="AA95" s="55">
        <f t="shared" si="83"/>
        <v>0</v>
      </c>
      <c r="AB95" s="53">
        <f>D95*mmater*Parámetros!$G82*$X$5+AB94*(1+i_noc)</f>
        <v>0</v>
      </c>
      <c r="AC95" s="53">
        <f>E95*12*Parámetros!$F82*$X$5+AC94*(1+i_noc)</f>
        <v>1569544.5711336026</v>
      </c>
      <c r="AD95" s="53"/>
      <c r="AE95" s="53"/>
      <c r="AF95" s="175"/>
      <c r="AG95" s="74">
        <f t="shared" si="64"/>
        <v>0</v>
      </c>
      <c r="AH95" s="52">
        <f t="shared" si="65"/>
        <v>0</v>
      </c>
      <c r="AI95" s="56">
        <f t="shared" si="71"/>
        <v>0</v>
      </c>
      <c r="AJ95" s="56">
        <f t="shared" si="72"/>
        <v>0</v>
      </c>
      <c r="AK95" s="56"/>
      <c r="AL95" s="56"/>
      <c r="AM95" s="56"/>
      <c r="AN95" s="56"/>
      <c r="AO95" s="56">
        <f t="shared" si="73"/>
        <v>0</v>
      </c>
      <c r="AP95" s="56">
        <f t="shared" si="74"/>
        <v>0</v>
      </c>
      <c r="AQ95" s="53">
        <f t="shared" si="75"/>
        <v>0</v>
      </c>
      <c r="AR95" s="53">
        <f t="shared" si="76"/>
        <v>0</v>
      </c>
      <c r="AS95" s="39"/>
      <c r="AT95" s="68">
        <f t="shared" si="77"/>
        <v>0</v>
      </c>
      <c r="AU95" s="68">
        <f t="shared" si="78"/>
        <v>0</v>
      </c>
      <c r="AV95" s="68">
        <f t="shared" si="79"/>
        <v>0</v>
      </c>
      <c r="AW95" s="68">
        <f t="shared" si="66"/>
        <v>0</v>
      </c>
      <c r="AX95" s="39"/>
      <c r="AY95" s="39"/>
    </row>
    <row r="96" spans="1:51" x14ac:dyDescent="0.25">
      <c r="A96" s="30">
        <v>2061</v>
      </c>
      <c r="B96" s="33">
        <f>w_uf*UF*Parámetros!C83</f>
        <v>1361804.0801567822</v>
      </c>
      <c r="C96" s="30">
        <f t="shared" si="61"/>
        <v>82</v>
      </c>
      <c r="D96" s="30">
        <f>((A96=Inputs!$C$12)*(Inputs!$D$12) + (A96=Inputs!$C$13)*(Inputs!$D$13) + (A96=Inputs!$C$14)*(Inputs!$D$14)) *(A96 &gt;= a_afil)*(A96&gt;=2024)</f>
        <v>0</v>
      </c>
      <c r="E96" s="30">
        <f>MIN(1,(A96=Inputs!$C$19)*Inputs!$D$19+(A96=Inputs!$C$20)*Inputs!$D$20+(A96=Inputs!$C$21)*Inputs!$D$21*(A96 &gt;= a_afil))</f>
        <v>0</v>
      </c>
      <c r="F96" s="30">
        <f t="shared" si="62"/>
        <v>0</v>
      </c>
      <c r="G96" s="30">
        <f t="shared" si="63"/>
        <v>0</v>
      </c>
      <c r="H96" s="30">
        <v>0.50972002744674683</v>
      </c>
      <c r="I96" s="37">
        <f t="shared" si="69"/>
        <v>0</v>
      </c>
      <c r="J96" s="37">
        <f t="shared" si="70"/>
        <v>0</v>
      </c>
      <c r="K96" s="30">
        <f>1*OR(Inputs!$D$17=$A96,Inputs!$E$17=$A96)*($E96=0)*(F96=1)</f>
        <v>0</v>
      </c>
      <c r="L96" s="30">
        <f>1*OR(Inputs!$D$17=$A96,Inputs!$E$17=$A96)*($E96=0)*(G96=1)</f>
        <v>0</v>
      </c>
      <c r="M96" s="73">
        <f t="shared" si="59"/>
        <v>0</v>
      </c>
      <c r="N96" s="73">
        <f t="shared" si="60"/>
        <v>0</v>
      </c>
      <c r="O96" s="55">
        <f>Parámetros!$E83*12*I96*$P$14</f>
        <v>0</v>
      </c>
      <c r="P96" s="55">
        <f>Parámetros!$E83*12*J96*$P$14</f>
        <v>0</v>
      </c>
      <c r="Q96" s="70">
        <f t="shared" si="39"/>
        <v>0</v>
      </c>
      <c r="R96" s="70">
        <f t="shared" si="40"/>
        <v>0</v>
      </c>
      <c r="S96" s="68">
        <f t="shared" ref="S96:S127" si="84">MIN($B96,_xlfn.XLOOKUP($A96,agnos,tope_ref_ind)*UF) * (12*I96*$X$3 +  K96*_xlfn.XLOOKUP(n_mes_laguna,giros_sc,tr_sc_acum)*($X$3+$X$4))</f>
        <v>0</v>
      </c>
      <c r="T96" s="68">
        <f t="shared" ref="T96:T127" si="85">MIN($B96,_xlfn.XLOOKUP($A96,agnos,tope_ref_ind)*UF) * (12*J96*$X$3 +  L96*_xlfn.XLOOKUP(n_mes_laguna,giros_sc,tr_sc_acum)*($X$3+$X$4))</f>
        <v>0</v>
      </c>
      <c r="U96" s="177"/>
      <c r="V96" s="68">
        <f t="shared" si="80"/>
        <v>0</v>
      </c>
      <c r="W96" s="68">
        <f t="shared" si="81"/>
        <v>0</v>
      </c>
      <c r="X96" s="54">
        <f t="shared" si="67"/>
        <v>0</v>
      </c>
      <c r="Y96" s="54">
        <f t="shared" si="68"/>
        <v>0</v>
      </c>
      <c r="Z96" s="55">
        <f t="shared" si="82"/>
        <v>0</v>
      </c>
      <c r="AA96" s="55">
        <f t="shared" si="83"/>
        <v>0</v>
      </c>
      <c r="AB96" s="53">
        <f>D96*mmater*Parámetros!$G83*$X$5+AB95*(1+i_noc)</f>
        <v>0</v>
      </c>
      <c r="AC96" s="53">
        <f>E96*12*Parámetros!$F83*$X$5+AC95*(1+i_noc)</f>
        <v>1600935.4625562746</v>
      </c>
      <c r="AD96" s="53"/>
      <c r="AE96" s="53"/>
      <c r="AF96" s="175"/>
      <c r="AG96" s="74">
        <f t="shared" si="64"/>
        <v>0</v>
      </c>
      <c r="AH96" s="52">
        <f t="shared" si="65"/>
        <v>0</v>
      </c>
      <c r="AI96" s="56">
        <f t="shared" si="71"/>
        <v>0</v>
      </c>
      <c r="AJ96" s="56">
        <f t="shared" si="72"/>
        <v>0</v>
      </c>
      <c r="AK96" s="56"/>
      <c r="AL96" s="56"/>
      <c r="AM96" s="56"/>
      <c r="AN96" s="56"/>
      <c r="AO96" s="56">
        <f t="shared" si="73"/>
        <v>0</v>
      </c>
      <c r="AP96" s="56">
        <f t="shared" si="74"/>
        <v>0</v>
      </c>
      <c r="AQ96" s="53">
        <f t="shared" si="75"/>
        <v>0</v>
      </c>
      <c r="AR96" s="53">
        <f t="shared" si="76"/>
        <v>0</v>
      </c>
      <c r="AS96" s="39"/>
      <c r="AT96" s="68">
        <f t="shared" si="77"/>
        <v>0</v>
      </c>
      <c r="AU96" s="68">
        <f t="shared" si="78"/>
        <v>0</v>
      </c>
      <c r="AV96" s="68">
        <f t="shared" si="79"/>
        <v>0</v>
      </c>
      <c r="AW96" s="68">
        <f t="shared" si="66"/>
        <v>0</v>
      </c>
      <c r="AX96" s="39"/>
      <c r="AY96" s="39"/>
    </row>
    <row r="97" spans="1:51" x14ac:dyDescent="0.25">
      <c r="A97" s="30">
        <v>2062</v>
      </c>
      <c r="B97" s="33">
        <f>w_uf*UF*Parámetros!C84</f>
        <v>1378826.6311587419</v>
      </c>
      <c r="C97" s="30">
        <f t="shared" si="61"/>
        <v>83</v>
      </c>
      <c r="D97" s="30">
        <f>((A97=Inputs!$C$12)*(Inputs!$D$12) + (A97=Inputs!$C$13)*(Inputs!$D$13) + (A97=Inputs!$C$14)*(Inputs!$D$14)) *(A97 &gt;= a_afil)*(A97&gt;=2024)</f>
        <v>0</v>
      </c>
      <c r="E97" s="30">
        <f>MIN(1,(A97=Inputs!$C$19)*Inputs!$D$19+(A97=Inputs!$C$20)*Inputs!$D$20+(A97=Inputs!$C$21)*Inputs!$D$21*(A97 &gt;= a_afil))</f>
        <v>0</v>
      </c>
      <c r="F97" s="30">
        <f t="shared" si="62"/>
        <v>0</v>
      </c>
      <c r="G97" s="30">
        <f t="shared" si="63"/>
        <v>0</v>
      </c>
      <c r="H97" s="30">
        <v>0.40606272220611572</v>
      </c>
      <c r="I97" s="37">
        <f t="shared" si="69"/>
        <v>0</v>
      </c>
      <c r="J97" s="37">
        <f t="shared" si="70"/>
        <v>0</v>
      </c>
      <c r="K97" s="30">
        <f>1*OR(Inputs!$D$17=$A97,Inputs!$E$17=$A97)*($E97=0)*(F97=1)</f>
        <v>0</v>
      </c>
      <c r="L97" s="30">
        <f>1*OR(Inputs!$D$17=$A97,Inputs!$E$17=$A97)*($E97=0)*(G97=1)</f>
        <v>0</v>
      </c>
      <c r="M97" s="73">
        <f t="shared" si="59"/>
        <v>0</v>
      </c>
      <c r="N97" s="73">
        <f t="shared" si="60"/>
        <v>0</v>
      </c>
      <c r="O97" s="55">
        <f>Parámetros!$E84*12*I97*$P$14</f>
        <v>0</v>
      </c>
      <c r="P97" s="55">
        <f>Parámetros!$E84*12*J97*$P$14</f>
        <v>0</v>
      </c>
      <c r="Q97" s="70">
        <f t="shared" si="39"/>
        <v>0</v>
      </c>
      <c r="R97" s="70">
        <f t="shared" si="40"/>
        <v>0</v>
      </c>
      <c r="S97" s="68">
        <f t="shared" si="84"/>
        <v>0</v>
      </c>
      <c r="T97" s="68">
        <f t="shared" si="85"/>
        <v>0</v>
      </c>
      <c r="U97" s="177"/>
      <c r="V97" s="68">
        <f t="shared" si="80"/>
        <v>0</v>
      </c>
      <c r="W97" s="68">
        <f t="shared" si="81"/>
        <v>0</v>
      </c>
      <c r="X97" s="54">
        <f t="shared" si="67"/>
        <v>0</v>
      </c>
      <c r="Y97" s="54">
        <f t="shared" si="68"/>
        <v>0</v>
      </c>
      <c r="Z97" s="55">
        <f t="shared" si="82"/>
        <v>0</v>
      </c>
      <c r="AA97" s="55">
        <f t="shared" si="83"/>
        <v>0</v>
      </c>
      <c r="AB97" s="53">
        <f>D97*mmater*Parámetros!$G84*$X$5+AB96*(1+i_noc)</f>
        <v>0</v>
      </c>
      <c r="AC97" s="53">
        <f>E97*12*Parámetros!$F84*$X$5+AC96*(1+i_noc)</f>
        <v>1632954.1718074002</v>
      </c>
      <c r="AD97" s="53"/>
      <c r="AE97" s="53"/>
      <c r="AF97" s="175"/>
      <c r="AG97" s="74">
        <f t="shared" si="64"/>
        <v>0</v>
      </c>
      <c r="AH97" s="52">
        <f t="shared" si="65"/>
        <v>0</v>
      </c>
      <c r="AI97" s="56">
        <f t="shared" si="71"/>
        <v>0</v>
      </c>
      <c r="AJ97" s="56">
        <f t="shared" si="72"/>
        <v>0</v>
      </c>
      <c r="AK97" s="56"/>
      <c r="AL97" s="56"/>
      <c r="AM97" s="56"/>
      <c r="AN97" s="56"/>
      <c r="AO97" s="56">
        <f t="shared" si="73"/>
        <v>0</v>
      </c>
      <c r="AP97" s="56">
        <f t="shared" si="74"/>
        <v>0</v>
      </c>
      <c r="AQ97" s="53">
        <f t="shared" si="75"/>
        <v>0</v>
      </c>
      <c r="AR97" s="53">
        <f t="shared" si="76"/>
        <v>0</v>
      </c>
      <c r="AS97" s="39"/>
      <c r="AT97" s="68">
        <f t="shared" si="77"/>
        <v>0</v>
      </c>
      <c r="AU97" s="68">
        <f t="shared" si="78"/>
        <v>0</v>
      </c>
      <c r="AV97" s="68">
        <f t="shared" si="79"/>
        <v>0</v>
      </c>
      <c r="AW97" s="68">
        <f t="shared" si="66"/>
        <v>0</v>
      </c>
      <c r="AX97" s="39"/>
      <c r="AY97" s="39"/>
    </row>
    <row r="98" spans="1:51" x14ac:dyDescent="0.25">
      <c r="A98" s="30">
        <v>2063</v>
      </c>
      <c r="B98" s="33">
        <f>w_uf*UF*Parámetros!C85</f>
        <v>1396061.9640482261</v>
      </c>
      <c r="C98" s="30">
        <f t="shared" si="61"/>
        <v>84</v>
      </c>
      <c r="D98" s="30">
        <f>((A98=Inputs!$C$12)*(Inputs!$D$12) + (A98=Inputs!$C$13)*(Inputs!$D$13) + (A98=Inputs!$C$14)*(Inputs!$D$14)) *(A98 &gt;= a_afil)*(A98&gt;=2024)</f>
        <v>0</v>
      </c>
      <c r="E98" s="30">
        <f>MIN(1,(A98=Inputs!$C$19)*Inputs!$D$19+(A98=Inputs!$C$20)*Inputs!$D$20+(A98=Inputs!$C$21)*Inputs!$D$21*(A98 &gt;= a_afil))</f>
        <v>0</v>
      </c>
      <c r="F98" s="30">
        <f t="shared" si="62"/>
        <v>0</v>
      </c>
      <c r="G98" s="30">
        <f t="shared" si="63"/>
        <v>0</v>
      </c>
      <c r="H98" s="30">
        <v>0.10613375902175903</v>
      </c>
      <c r="I98" s="37">
        <f t="shared" si="69"/>
        <v>0</v>
      </c>
      <c r="J98" s="37">
        <f t="shared" si="70"/>
        <v>0</v>
      </c>
      <c r="K98" s="30">
        <f>1*OR(Inputs!$D$17=$A98,Inputs!$E$17=$A98)*($E98=0)*(F98=1)</f>
        <v>0</v>
      </c>
      <c r="L98" s="30">
        <f>1*OR(Inputs!$D$17=$A98,Inputs!$E$17=$A98)*($E98=0)*(G98=1)</f>
        <v>0</v>
      </c>
      <c r="M98" s="73">
        <f t="shared" si="59"/>
        <v>0</v>
      </c>
      <c r="N98" s="73">
        <f t="shared" si="60"/>
        <v>0</v>
      </c>
      <c r="O98" s="55">
        <f>Parámetros!$E85*12*I98*$P$14</f>
        <v>0</v>
      </c>
      <c r="P98" s="55">
        <f>Parámetros!$E85*12*J98*$P$14</f>
        <v>0</v>
      </c>
      <c r="Q98" s="70">
        <f t="shared" si="39"/>
        <v>0</v>
      </c>
      <c r="R98" s="70">
        <f t="shared" si="40"/>
        <v>0</v>
      </c>
      <c r="S98" s="68">
        <f t="shared" si="84"/>
        <v>0</v>
      </c>
      <c r="T98" s="68">
        <f t="shared" si="85"/>
        <v>0</v>
      </c>
      <c r="U98" s="177"/>
      <c r="V98" s="68">
        <f t="shared" si="80"/>
        <v>0</v>
      </c>
      <c r="W98" s="68">
        <f t="shared" si="81"/>
        <v>0</v>
      </c>
      <c r="X98" s="54">
        <f t="shared" si="67"/>
        <v>0</v>
      </c>
      <c r="Y98" s="54">
        <f t="shared" si="68"/>
        <v>0</v>
      </c>
      <c r="Z98" s="55">
        <f t="shared" si="82"/>
        <v>0</v>
      </c>
      <c r="AA98" s="55">
        <f t="shared" si="83"/>
        <v>0</v>
      </c>
      <c r="AB98" s="53">
        <f>D98*mmater*Parámetros!$G85*$X$5+AB97*(1+i_noc)</f>
        <v>0</v>
      </c>
      <c r="AC98" s="53">
        <f>E98*12*Parámetros!$F85*$X$5+AC97*(1+i_noc)</f>
        <v>1665613.2552435482</v>
      </c>
      <c r="AD98" s="53"/>
      <c r="AE98" s="53"/>
      <c r="AF98" s="175"/>
      <c r="AG98" s="74">
        <f t="shared" si="64"/>
        <v>0</v>
      </c>
      <c r="AH98" s="52">
        <f t="shared" si="65"/>
        <v>0</v>
      </c>
      <c r="AI98" s="56">
        <f t="shared" si="71"/>
        <v>0</v>
      </c>
      <c r="AJ98" s="56">
        <f t="shared" si="72"/>
        <v>0</v>
      </c>
      <c r="AK98" s="56"/>
      <c r="AL98" s="56"/>
      <c r="AM98" s="56"/>
      <c r="AN98" s="56"/>
      <c r="AO98" s="56">
        <f t="shared" si="73"/>
        <v>0</v>
      </c>
      <c r="AP98" s="56">
        <f t="shared" si="74"/>
        <v>0</v>
      </c>
      <c r="AQ98" s="53">
        <f t="shared" si="75"/>
        <v>0</v>
      </c>
      <c r="AR98" s="53">
        <f t="shared" si="76"/>
        <v>0</v>
      </c>
      <c r="AS98" s="39"/>
      <c r="AT98" s="68">
        <f t="shared" si="77"/>
        <v>0</v>
      </c>
      <c r="AU98" s="68">
        <f t="shared" si="78"/>
        <v>0</v>
      </c>
      <c r="AV98" s="68">
        <f t="shared" si="79"/>
        <v>0</v>
      </c>
      <c r="AW98" s="68">
        <f t="shared" si="66"/>
        <v>0</v>
      </c>
      <c r="AX98" s="39"/>
      <c r="AY98" s="39"/>
    </row>
    <row r="99" spans="1:51" x14ac:dyDescent="0.25">
      <c r="A99" s="30">
        <v>2064</v>
      </c>
      <c r="B99" s="33">
        <f>w_uf*UF*Parámetros!C86</f>
        <v>1413512.7385988289</v>
      </c>
      <c r="C99" s="30">
        <f t="shared" si="61"/>
        <v>85</v>
      </c>
      <c r="D99" s="30">
        <f>((A99=Inputs!$C$12)*(Inputs!$D$12) + (A99=Inputs!$C$13)*(Inputs!$D$13) + (A99=Inputs!$C$14)*(Inputs!$D$14)) *(A99 &gt;= a_afil)*(A99&gt;=2024)</f>
        <v>0</v>
      </c>
      <c r="E99" s="30">
        <f>MIN(1,(A99=Inputs!$C$19)*Inputs!$D$19+(A99=Inputs!$C$20)*Inputs!$D$20+(A99=Inputs!$C$21)*Inputs!$D$21*(A99 &gt;= a_afil))</f>
        <v>0</v>
      </c>
      <c r="F99" s="30">
        <f t="shared" si="62"/>
        <v>0</v>
      </c>
      <c r="G99" s="30">
        <f t="shared" si="63"/>
        <v>0</v>
      </c>
      <c r="H99" s="30">
        <v>0.2761232852935791</v>
      </c>
      <c r="I99" s="37">
        <f t="shared" si="69"/>
        <v>0</v>
      </c>
      <c r="J99" s="37">
        <f t="shared" si="70"/>
        <v>0</v>
      </c>
      <c r="K99" s="30">
        <f>1*OR(Inputs!$D$17=$A99,Inputs!$E$17=$A99)*($E99=0)*(F99=1)</f>
        <v>0</v>
      </c>
      <c r="L99" s="30">
        <f>1*OR(Inputs!$D$17=$A99,Inputs!$E$17=$A99)*($E99=0)*(G99=1)</f>
        <v>0</v>
      </c>
      <c r="M99" s="73">
        <f t="shared" si="59"/>
        <v>0</v>
      </c>
      <c r="N99" s="73">
        <f t="shared" si="60"/>
        <v>0</v>
      </c>
      <c r="O99" s="55">
        <f>Parámetros!$E86*12*I99*$P$14</f>
        <v>0</v>
      </c>
      <c r="P99" s="55">
        <f>Parámetros!$E86*12*J99*$P$14</f>
        <v>0</v>
      </c>
      <c r="Q99" s="70">
        <f t="shared" si="39"/>
        <v>0</v>
      </c>
      <c r="R99" s="70">
        <f t="shared" si="40"/>
        <v>0</v>
      </c>
      <c r="S99" s="68">
        <f t="shared" si="84"/>
        <v>0</v>
      </c>
      <c r="T99" s="68">
        <f t="shared" si="85"/>
        <v>0</v>
      </c>
      <c r="U99" s="177"/>
      <c r="V99" s="68">
        <f t="shared" si="80"/>
        <v>0</v>
      </c>
      <c r="W99" s="68">
        <f t="shared" si="81"/>
        <v>0</v>
      </c>
      <c r="X99" s="54">
        <f t="shared" si="67"/>
        <v>0</v>
      </c>
      <c r="Y99" s="54">
        <f t="shared" si="68"/>
        <v>0</v>
      </c>
      <c r="Z99" s="55">
        <f t="shared" si="82"/>
        <v>0</v>
      </c>
      <c r="AA99" s="55">
        <f t="shared" si="83"/>
        <v>0</v>
      </c>
      <c r="AB99" s="53">
        <f>D99*mmater*Parámetros!$G86*$X$5+AB98*(1+i_noc)</f>
        <v>0</v>
      </c>
      <c r="AC99" s="53">
        <f>E99*12*Parámetros!$F86*$X$5+AC98*(1+i_noc)</f>
        <v>1698925.5203484192</v>
      </c>
      <c r="AD99" s="53"/>
      <c r="AE99" s="53"/>
      <c r="AF99" s="175"/>
      <c r="AG99" s="74">
        <f t="shared" si="64"/>
        <v>0</v>
      </c>
      <c r="AH99" s="52">
        <f t="shared" si="65"/>
        <v>0</v>
      </c>
      <c r="AI99" s="56">
        <f t="shared" si="71"/>
        <v>0</v>
      </c>
      <c r="AJ99" s="56">
        <f t="shared" si="72"/>
        <v>0</v>
      </c>
      <c r="AK99" s="56"/>
      <c r="AL99" s="56"/>
      <c r="AM99" s="56"/>
      <c r="AN99" s="56"/>
      <c r="AO99" s="56">
        <f t="shared" si="73"/>
        <v>0</v>
      </c>
      <c r="AP99" s="56">
        <f t="shared" si="74"/>
        <v>0</v>
      </c>
      <c r="AQ99" s="53">
        <f t="shared" si="75"/>
        <v>0</v>
      </c>
      <c r="AR99" s="53">
        <f t="shared" si="76"/>
        <v>0</v>
      </c>
      <c r="AS99" s="39"/>
      <c r="AT99" s="68">
        <f t="shared" si="77"/>
        <v>0</v>
      </c>
      <c r="AU99" s="68">
        <f t="shared" si="78"/>
        <v>0</v>
      </c>
      <c r="AV99" s="68">
        <f t="shared" si="79"/>
        <v>0</v>
      </c>
      <c r="AW99" s="68">
        <f t="shared" si="66"/>
        <v>0</v>
      </c>
      <c r="AX99" s="39"/>
      <c r="AY99" s="39"/>
    </row>
    <row r="100" spans="1:51" x14ac:dyDescent="0.25">
      <c r="A100" s="30">
        <v>2065</v>
      </c>
      <c r="B100" s="33">
        <f>w_uf*UF*Parámetros!C87</f>
        <v>1431181.647831314</v>
      </c>
      <c r="C100" s="30">
        <f t="shared" si="61"/>
        <v>86</v>
      </c>
      <c r="D100" s="30">
        <f>((A100=Inputs!$C$12)*(Inputs!$D$12) + (A100=Inputs!$C$13)*(Inputs!$D$13) + (A100=Inputs!$C$14)*(Inputs!$D$14)) *(A100 &gt;= a_afil)*(A100&gt;=2024)</f>
        <v>0</v>
      </c>
      <c r="E100" s="30">
        <f>MIN(1,(A100=Inputs!$C$19)*Inputs!$D$19+(A100=Inputs!$C$20)*Inputs!$D$20+(A100=Inputs!$C$21)*Inputs!$D$21*(A100 &gt;= a_afil))</f>
        <v>0</v>
      </c>
      <c r="F100" s="30">
        <f t="shared" si="62"/>
        <v>0</v>
      </c>
      <c r="G100" s="30">
        <f t="shared" si="63"/>
        <v>0</v>
      </c>
      <c r="H100" s="30">
        <v>0.6430467963218689</v>
      </c>
      <c r="I100" s="37">
        <f t="shared" si="69"/>
        <v>0</v>
      </c>
      <c r="J100" s="37">
        <f t="shared" si="70"/>
        <v>0</v>
      </c>
      <c r="K100" s="30">
        <f>1*OR(Inputs!$D$17=$A100,Inputs!$E$17=$A100)*($E100=0)*(F100=1)</f>
        <v>0</v>
      </c>
      <c r="L100" s="30">
        <f>1*OR(Inputs!$D$17=$A100,Inputs!$E$17=$A100)*($E100=0)*(G100=1)</f>
        <v>0</v>
      </c>
      <c r="M100" s="73">
        <f t="shared" si="59"/>
        <v>0</v>
      </c>
      <c r="N100" s="73">
        <f t="shared" si="60"/>
        <v>0</v>
      </c>
      <c r="O100" s="55">
        <f>Parámetros!$E87*12*I100*$P$14</f>
        <v>0</v>
      </c>
      <c r="P100" s="55">
        <f>Parámetros!$E87*12*J100*$P$14</f>
        <v>0</v>
      </c>
      <c r="Q100" s="70">
        <f t="shared" si="39"/>
        <v>0</v>
      </c>
      <c r="R100" s="70">
        <f t="shared" si="40"/>
        <v>0</v>
      </c>
      <c r="S100" s="68">
        <f t="shared" si="84"/>
        <v>0</v>
      </c>
      <c r="T100" s="68">
        <f t="shared" si="85"/>
        <v>0</v>
      </c>
      <c r="U100" s="177"/>
      <c r="V100" s="68">
        <f t="shared" si="80"/>
        <v>0</v>
      </c>
      <c r="W100" s="68">
        <f t="shared" si="81"/>
        <v>0</v>
      </c>
      <c r="X100" s="54">
        <f t="shared" si="67"/>
        <v>0</v>
      </c>
      <c r="Y100" s="54">
        <f t="shared" si="68"/>
        <v>0</v>
      </c>
      <c r="Z100" s="55">
        <f t="shared" si="82"/>
        <v>0</v>
      </c>
      <c r="AA100" s="55">
        <f t="shared" si="83"/>
        <v>0</v>
      </c>
      <c r="AB100" s="53">
        <f>D100*mmater*Parámetros!$G87*$X$5+AB99*(1+i_noc)</f>
        <v>0</v>
      </c>
      <c r="AC100" s="53">
        <f>E100*12*Parámetros!$F87*$X$5+AC99*(1+i_noc)</f>
        <v>1732904.0307553876</v>
      </c>
      <c r="AD100" s="53"/>
      <c r="AE100" s="53"/>
      <c r="AF100" s="175"/>
      <c r="AG100" s="74">
        <f t="shared" si="64"/>
        <v>0</v>
      </c>
      <c r="AH100" s="52">
        <f t="shared" si="65"/>
        <v>0</v>
      </c>
      <c r="AI100" s="56">
        <f t="shared" si="71"/>
        <v>0</v>
      </c>
      <c r="AJ100" s="56">
        <f t="shared" si="72"/>
        <v>0</v>
      </c>
      <c r="AK100" s="56"/>
      <c r="AL100" s="56"/>
      <c r="AM100" s="56"/>
      <c r="AN100" s="56"/>
      <c r="AO100" s="56">
        <f t="shared" si="73"/>
        <v>0</v>
      </c>
      <c r="AP100" s="56">
        <f t="shared" si="74"/>
        <v>0</v>
      </c>
      <c r="AQ100" s="53">
        <f t="shared" si="75"/>
        <v>0</v>
      </c>
      <c r="AR100" s="53">
        <f t="shared" si="76"/>
        <v>0</v>
      </c>
      <c r="AS100" s="39"/>
      <c r="AT100" s="68">
        <f t="shared" si="77"/>
        <v>0</v>
      </c>
      <c r="AU100" s="68">
        <f t="shared" si="78"/>
        <v>0</v>
      </c>
      <c r="AV100" s="68">
        <f t="shared" si="79"/>
        <v>0</v>
      </c>
      <c r="AW100" s="68">
        <f t="shared" si="66"/>
        <v>0</v>
      </c>
      <c r="AX100" s="39"/>
      <c r="AY100" s="173"/>
    </row>
    <row r="101" spans="1:51" x14ac:dyDescent="0.25">
      <c r="A101" s="30">
        <v>2066</v>
      </c>
      <c r="B101" s="33">
        <f>w_uf*UF*Parámetros!C88</f>
        <v>1449071.4184292057</v>
      </c>
      <c r="C101" s="30">
        <f t="shared" si="61"/>
        <v>87</v>
      </c>
      <c r="D101" s="30">
        <f>((A101=Inputs!$C$12)*(Inputs!$D$12) + (A101=Inputs!$C$13)*(Inputs!$D$13) + (A101=Inputs!$C$14)*(Inputs!$D$14)) *(A101 &gt;= a_afil)*(A101&gt;=2024)</f>
        <v>0</v>
      </c>
      <c r="E101" s="30">
        <f>MIN(1,(A101=Inputs!$C$19)*Inputs!$D$19+(A101=Inputs!$C$20)*Inputs!$D$20+(A101=Inputs!$C$21)*Inputs!$D$21*(A101 &gt;= a_afil))</f>
        <v>0</v>
      </c>
      <c r="F101" s="30">
        <f t="shared" si="62"/>
        <v>0</v>
      </c>
      <c r="G101" s="30">
        <f t="shared" si="63"/>
        <v>0</v>
      </c>
      <c r="H101" s="30">
        <v>0.84909999370574951</v>
      </c>
      <c r="I101" s="37">
        <f t="shared" si="69"/>
        <v>0</v>
      </c>
      <c r="J101" s="37">
        <f t="shared" si="70"/>
        <v>0</v>
      </c>
      <c r="K101" s="30">
        <f>1*OR(Inputs!$D$17=$A101,Inputs!$E$17=$A101)*($E101=0)*(F101=1)</f>
        <v>0</v>
      </c>
      <c r="L101" s="30">
        <f>1*OR(Inputs!$D$17=$A101,Inputs!$E$17=$A101)*($E101=0)*(G101=1)</f>
        <v>0</v>
      </c>
      <c r="M101" s="73">
        <f t="shared" si="59"/>
        <v>0</v>
      </c>
      <c r="N101" s="73">
        <f t="shared" si="60"/>
        <v>0</v>
      </c>
      <c r="O101" s="55">
        <f>Parámetros!$E88*12*I101*$P$14</f>
        <v>0</v>
      </c>
      <c r="P101" s="55">
        <f>Parámetros!$E88*12*J101*$P$14</f>
        <v>0</v>
      </c>
      <c r="Q101" s="70">
        <f t="shared" si="39"/>
        <v>0</v>
      </c>
      <c r="R101" s="70">
        <f t="shared" si="40"/>
        <v>0</v>
      </c>
      <c r="S101" s="68">
        <f t="shared" si="84"/>
        <v>0</v>
      </c>
      <c r="T101" s="68">
        <f t="shared" si="85"/>
        <v>0</v>
      </c>
      <c r="U101" s="177"/>
      <c r="V101" s="68">
        <f t="shared" si="80"/>
        <v>0</v>
      </c>
      <c r="W101" s="68">
        <f t="shared" si="81"/>
        <v>0</v>
      </c>
      <c r="X101" s="54">
        <f t="shared" si="67"/>
        <v>0</v>
      </c>
      <c r="Y101" s="54">
        <f t="shared" si="68"/>
        <v>0</v>
      </c>
      <c r="Z101" s="55">
        <f t="shared" si="82"/>
        <v>0</v>
      </c>
      <c r="AA101" s="55">
        <f t="shared" si="83"/>
        <v>0</v>
      </c>
      <c r="AB101" s="53">
        <f>D101*mmater*Parámetros!$G88*$X$5+AB100*(1+i_noc)</f>
        <v>0</v>
      </c>
      <c r="AC101" s="53">
        <f>E101*12*Parámetros!$F88*$X$5+AC100*(1+i_noc)</f>
        <v>1767562.1113704953</v>
      </c>
      <c r="AD101" s="53"/>
      <c r="AE101" s="53"/>
      <c r="AF101" s="175"/>
      <c r="AG101" s="74">
        <f t="shared" si="64"/>
        <v>0</v>
      </c>
      <c r="AH101" s="52">
        <f t="shared" si="65"/>
        <v>0</v>
      </c>
      <c r="AI101" s="56">
        <f t="shared" si="71"/>
        <v>0</v>
      </c>
      <c r="AJ101" s="56">
        <f t="shared" si="72"/>
        <v>0</v>
      </c>
      <c r="AK101" s="56"/>
      <c r="AL101" s="56"/>
      <c r="AM101" s="56"/>
      <c r="AN101" s="56"/>
      <c r="AO101" s="56">
        <f t="shared" si="73"/>
        <v>0</v>
      </c>
      <c r="AP101" s="56">
        <f t="shared" si="74"/>
        <v>0</v>
      </c>
      <c r="AQ101" s="53">
        <f t="shared" si="75"/>
        <v>0</v>
      </c>
      <c r="AR101" s="53">
        <f t="shared" si="76"/>
        <v>0</v>
      </c>
      <c r="AS101" s="39"/>
      <c r="AT101" s="68">
        <f t="shared" si="77"/>
        <v>0</v>
      </c>
      <c r="AU101" s="68">
        <f t="shared" si="78"/>
        <v>0</v>
      </c>
      <c r="AV101" s="68">
        <f t="shared" si="79"/>
        <v>0</v>
      </c>
      <c r="AW101" s="68">
        <f t="shared" si="66"/>
        <v>0</v>
      </c>
      <c r="AX101" s="39"/>
      <c r="AY101" s="39"/>
    </row>
    <row r="102" spans="1:51" x14ac:dyDescent="0.25">
      <c r="A102" s="30">
        <v>2067</v>
      </c>
      <c r="B102" s="33">
        <f>w_uf*UF*Parámetros!C89</f>
        <v>1467184.8111595705</v>
      </c>
      <c r="C102" s="30">
        <f t="shared" si="61"/>
        <v>88</v>
      </c>
      <c r="D102" s="30">
        <f>((A102=Inputs!$C$12)*(Inputs!$D$12) + (A102=Inputs!$C$13)*(Inputs!$D$13) + (A102=Inputs!$C$14)*(Inputs!$D$14)) *(A102 &gt;= a_afil)*(A102&gt;=2024)</f>
        <v>0</v>
      </c>
      <c r="E102" s="30">
        <f>MIN(1,(A102=Inputs!$C$19)*Inputs!$D$19+(A102=Inputs!$C$20)*Inputs!$D$20+(A102=Inputs!$C$21)*Inputs!$D$21*(A102 &gt;= a_afil))</f>
        <v>0</v>
      </c>
      <c r="F102" s="30">
        <f t="shared" si="62"/>
        <v>0</v>
      </c>
      <c r="G102" s="30">
        <f t="shared" si="63"/>
        <v>0</v>
      </c>
      <c r="H102" s="30">
        <v>0.49796921014785767</v>
      </c>
      <c r="I102" s="37">
        <f t="shared" si="69"/>
        <v>0</v>
      </c>
      <c r="J102" s="37">
        <f t="shared" si="70"/>
        <v>0</v>
      </c>
      <c r="K102" s="30">
        <f>1*OR(Inputs!$D$17=$A102,Inputs!$E$17=$A102)*($E102=0)*(F102=1)</f>
        <v>0</v>
      </c>
      <c r="L102" s="30">
        <f>1*OR(Inputs!$D$17=$A102,Inputs!$E$17=$A102)*($E102=0)*(G102=1)</f>
        <v>0</v>
      </c>
      <c r="M102" s="73">
        <f t="shared" si="59"/>
        <v>0</v>
      </c>
      <c r="N102" s="73">
        <f t="shared" si="60"/>
        <v>0</v>
      </c>
      <c r="O102" s="55">
        <f>Parámetros!$E89*12*I102*$P$14</f>
        <v>0</v>
      </c>
      <c r="P102" s="55">
        <f>Parámetros!$E89*12*J102*$P$14</f>
        <v>0</v>
      </c>
      <c r="Q102" s="70">
        <f t="shared" si="39"/>
        <v>0</v>
      </c>
      <c r="R102" s="70">
        <f t="shared" si="40"/>
        <v>0</v>
      </c>
      <c r="S102" s="68">
        <f t="shared" si="84"/>
        <v>0</v>
      </c>
      <c r="T102" s="68">
        <f t="shared" si="85"/>
        <v>0</v>
      </c>
      <c r="U102" s="177"/>
      <c r="V102" s="68">
        <f t="shared" si="80"/>
        <v>0</v>
      </c>
      <c r="W102" s="68">
        <f t="shared" si="81"/>
        <v>0</v>
      </c>
      <c r="X102" s="54">
        <f t="shared" si="67"/>
        <v>0</v>
      </c>
      <c r="Y102" s="54">
        <f t="shared" si="68"/>
        <v>0</v>
      </c>
      <c r="Z102" s="55">
        <f t="shared" si="82"/>
        <v>0</v>
      </c>
      <c r="AA102" s="55">
        <f t="shared" si="83"/>
        <v>0</v>
      </c>
      <c r="AB102" s="53">
        <f>D102*mmater*Parámetros!$G89*$X$5+AB101*(1+i_noc)</f>
        <v>0</v>
      </c>
      <c r="AC102" s="53">
        <f>E102*12*Parámetros!$F89*$X$5+AC101*(1+i_noc)</f>
        <v>1802913.3535979053</v>
      </c>
      <c r="AD102" s="53"/>
      <c r="AE102" s="53"/>
      <c r="AF102" s="175"/>
      <c r="AG102" s="74">
        <f t="shared" si="64"/>
        <v>0</v>
      </c>
      <c r="AH102" s="52">
        <f t="shared" si="65"/>
        <v>0</v>
      </c>
      <c r="AI102" s="56">
        <f t="shared" si="71"/>
        <v>0</v>
      </c>
      <c r="AJ102" s="56">
        <f t="shared" si="72"/>
        <v>0</v>
      </c>
      <c r="AK102" s="56"/>
      <c r="AL102" s="56"/>
      <c r="AM102" s="56"/>
      <c r="AN102" s="56"/>
      <c r="AO102" s="56">
        <f t="shared" si="73"/>
        <v>0</v>
      </c>
      <c r="AP102" s="56">
        <f t="shared" si="74"/>
        <v>0</v>
      </c>
      <c r="AQ102" s="53">
        <f t="shared" si="75"/>
        <v>0</v>
      </c>
      <c r="AR102" s="53">
        <f t="shared" si="76"/>
        <v>0</v>
      </c>
      <c r="AS102" s="39"/>
      <c r="AT102" s="68">
        <f t="shared" si="77"/>
        <v>0</v>
      </c>
      <c r="AU102" s="68">
        <f t="shared" si="78"/>
        <v>0</v>
      </c>
      <c r="AV102" s="68">
        <f t="shared" si="79"/>
        <v>0</v>
      </c>
      <c r="AW102" s="68">
        <f t="shared" si="66"/>
        <v>0</v>
      </c>
      <c r="AX102" s="39"/>
      <c r="AY102" s="39"/>
    </row>
    <row r="103" spans="1:51" x14ac:dyDescent="0.25">
      <c r="A103" s="30">
        <v>2068</v>
      </c>
      <c r="B103" s="33">
        <f>w_uf*UF*Parámetros!C90</f>
        <v>1485524.621299065</v>
      </c>
      <c r="C103" s="30">
        <f t="shared" si="61"/>
        <v>89</v>
      </c>
      <c r="D103" s="30">
        <f>((A103=Inputs!$C$12)*(Inputs!$D$12) + (A103=Inputs!$C$13)*(Inputs!$D$13) + (A103=Inputs!$C$14)*(Inputs!$D$14)) *(A103 &gt;= a_afil)*(A103&gt;=2024)</f>
        <v>0</v>
      </c>
      <c r="E103" s="30">
        <f>MIN(1,(A103=Inputs!$C$19)*Inputs!$D$19+(A103=Inputs!$C$20)*Inputs!$D$20+(A103=Inputs!$C$21)*Inputs!$D$21*(A103 &gt;= a_afil))</f>
        <v>0</v>
      </c>
      <c r="F103" s="30">
        <f t="shared" si="62"/>
        <v>0</v>
      </c>
      <c r="G103" s="30">
        <f t="shared" si="63"/>
        <v>0</v>
      </c>
      <c r="H103" s="30">
        <v>0.1877751350402832</v>
      </c>
      <c r="I103" s="37">
        <f t="shared" si="69"/>
        <v>0</v>
      </c>
      <c r="J103" s="37">
        <f t="shared" si="70"/>
        <v>0</v>
      </c>
      <c r="K103" s="30">
        <f>1*OR(Inputs!$D$17=$A103,Inputs!$E$17=$A103)*($E103=0)*(F103=1)</f>
        <v>0</v>
      </c>
      <c r="L103" s="30">
        <f>1*OR(Inputs!$D$17=$A103,Inputs!$E$17=$A103)*($E103=0)*(G103=1)</f>
        <v>0</v>
      </c>
      <c r="M103" s="73">
        <f t="shared" si="59"/>
        <v>0</v>
      </c>
      <c r="N103" s="73">
        <f t="shared" si="60"/>
        <v>0</v>
      </c>
      <c r="O103" s="55">
        <f>Parámetros!$E90*12*I103*$P$14</f>
        <v>0</v>
      </c>
      <c r="P103" s="55">
        <f>Parámetros!$E90*12*J103*$P$14</f>
        <v>0</v>
      </c>
      <c r="Q103" s="70">
        <f t="shared" si="39"/>
        <v>0</v>
      </c>
      <c r="R103" s="70">
        <f t="shared" si="40"/>
        <v>0</v>
      </c>
      <c r="S103" s="68">
        <f t="shared" si="84"/>
        <v>0</v>
      </c>
      <c r="T103" s="68">
        <f t="shared" si="85"/>
        <v>0</v>
      </c>
      <c r="U103" s="177"/>
      <c r="V103" s="68">
        <f t="shared" si="80"/>
        <v>0</v>
      </c>
      <c r="W103" s="68">
        <f t="shared" si="81"/>
        <v>0</v>
      </c>
      <c r="X103" s="54">
        <f t="shared" si="67"/>
        <v>0</v>
      </c>
      <c r="Y103" s="54">
        <f t="shared" si="68"/>
        <v>0</v>
      </c>
      <c r="Z103" s="55">
        <f t="shared" si="82"/>
        <v>0</v>
      </c>
      <c r="AA103" s="55">
        <f t="shared" si="83"/>
        <v>0</v>
      </c>
      <c r="AB103" s="53">
        <f>D103*mmater*Parámetros!$G90*$X$5+AB102*(1+i_noc)</f>
        <v>0</v>
      </c>
      <c r="AC103" s="53">
        <f>E103*12*Parámetros!$F90*$X$5+AC102*(1+i_noc)</f>
        <v>1838971.6206698634</v>
      </c>
      <c r="AD103" s="53"/>
      <c r="AE103" s="53"/>
      <c r="AF103" s="175"/>
      <c r="AG103" s="74">
        <f t="shared" si="64"/>
        <v>0</v>
      </c>
      <c r="AH103" s="52">
        <f t="shared" si="65"/>
        <v>0</v>
      </c>
      <c r="AI103" s="56">
        <f t="shared" si="71"/>
        <v>0</v>
      </c>
      <c r="AJ103" s="56">
        <f t="shared" si="72"/>
        <v>0</v>
      </c>
      <c r="AK103" s="56"/>
      <c r="AL103" s="56"/>
      <c r="AM103" s="56"/>
      <c r="AN103" s="56"/>
      <c r="AO103" s="56">
        <f t="shared" si="73"/>
        <v>0</v>
      </c>
      <c r="AP103" s="56">
        <f t="shared" si="74"/>
        <v>0</v>
      </c>
      <c r="AQ103" s="53">
        <f t="shared" si="75"/>
        <v>0</v>
      </c>
      <c r="AR103" s="53">
        <f t="shared" si="76"/>
        <v>0</v>
      </c>
      <c r="AS103" s="39"/>
      <c r="AT103" s="68">
        <f t="shared" si="77"/>
        <v>0</v>
      </c>
      <c r="AU103" s="68">
        <f t="shared" si="78"/>
        <v>0</v>
      </c>
      <c r="AV103" s="68">
        <f t="shared" si="79"/>
        <v>0</v>
      </c>
      <c r="AW103" s="68">
        <f t="shared" si="66"/>
        <v>0</v>
      </c>
      <c r="AX103" s="39"/>
      <c r="AY103" s="39"/>
    </row>
    <row r="104" spans="1:51" x14ac:dyDescent="0.25">
      <c r="A104" s="30">
        <v>2069</v>
      </c>
      <c r="B104" s="33">
        <f>w_uf*UF*Parámetros!C91</f>
        <v>1504093.6790653034</v>
      </c>
      <c r="C104" s="30">
        <f t="shared" si="61"/>
        <v>90</v>
      </c>
      <c r="D104" s="30">
        <f>((A104=Inputs!$C$12)*(Inputs!$D$12) + (A104=Inputs!$C$13)*(Inputs!$D$13) + (A104=Inputs!$C$14)*(Inputs!$D$14)) *(A104 &gt;= a_afil)*(A104&gt;=2024)</f>
        <v>0</v>
      </c>
      <c r="E104" s="30">
        <f>MIN(1,(A104=Inputs!$C$19)*Inputs!$D$19+(A104=Inputs!$C$20)*Inputs!$D$20+(A104=Inputs!$C$21)*Inputs!$D$21*(A104 &gt;= a_afil))</f>
        <v>0</v>
      </c>
      <c r="F104" s="30">
        <f t="shared" si="62"/>
        <v>0</v>
      </c>
      <c r="G104" s="30">
        <f t="shared" si="63"/>
        <v>0</v>
      </c>
      <c r="H104" s="30">
        <v>0.89661663770675659</v>
      </c>
      <c r="I104" s="37">
        <f t="shared" si="69"/>
        <v>0</v>
      </c>
      <c r="J104" s="37">
        <f t="shared" si="70"/>
        <v>0</v>
      </c>
      <c r="K104" s="30">
        <f>1*OR(Inputs!$D$17=$A104,Inputs!$E$17=$A104)*($E104=0)*(F104=1)</f>
        <v>0</v>
      </c>
      <c r="L104" s="30">
        <f>1*OR(Inputs!$D$17=$A104,Inputs!$E$17=$A104)*($E104=0)*(G104=1)</f>
        <v>0</v>
      </c>
      <c r="M104" s="73">
        <f t="shared" si="59"/>
        <v>0</v>
      </c>
      <c r="N104" s="73">
        <f t="shared" si="60"/>
        <v>0</v>
      </c>
      <c r="O104" s="55">
        <f>Parámetros!$E91*12*I104*$P$14</f>
        <v>0</v>
      </c>
      <c r="P104" s="55">
        <f>Parámetros!$E91*12*J104*$P$14</f>
        <v>0</v>
      </c>
      <c r="Q104" s="70">
        <f t="shared" si="39"/>
        <v>0</v>
      </c>
      <c r="R104" s="70">
        <f t="shared" si="40"/>
        <v>0</v>
      </c>
      <c r="S104" s="68">
        <f t="shared" si="84"/>
        <v>0</v>
      </c>
      <c r="T104" s="68">
        <f t="shared" si="85"/>
        <v>0</v>
      </c>
      <c r="U104" s="177"/>
      <c r="V104" s="68">
        <f t="shared" si="80"/>
        <v>0</v>
      </c>
      <c r="W104" s="68">
        <f t="shared" si="81"/>
        <v>0</v>
      </c>
      <c r="X104" s="54">
        <f t="shared" si="67"/>
        <v>0</v>
      </c>
      <c r="Y104" s="54">
        <f t="shared" si="68"/>
        <v>0</v>
      </c>
      <c r="Z104" s="55">
        <f t="shared" si="82"/>
        <v>0</v>
      </c>
      <c r="AA104" s="55">
        <f t="shared" si="83"/>
        <v>0</v>
      </c>
      <c r="AB104" s="53">
        <f>D104*mmater*Parámetros!$G91*$X$5+AB103*(1+i_noc)</f>
        <v>0</v>
      </c>
      <c r="AC104" s="53">
        <f>E104*12*Parámetros!$F91*$X$5+AC103*(1+i_noc)</f>
        <v>1875751.0530832608</v>
      </c>
      <c r="AD104" s="53"/>
      <c r="AE104" s="53"/>
      <c r="AF104" s="175"/>
      <c r="AG104" s="74">
        <f t="shared" si="64"/>
        <v>0</v>
      </c>
      <c r="AH104" s="52">
        <f t="shared" si="65"/>
        <v>0</v>
      </c>
      <c r="AI104" s="56">
        <f t="shared" si="71"/>
        <v>0</v>
      </c>
      <c r="AJ104" s="56">
        <f t="shared" si="72"/>
        <v>0</v>
      </c>
      <c r="AK104" s="56"/>
      <c r="AL104" s="56"/>
      <c r="AM104" s="56"/>
      <c r="AN104" s="56"/>
      <c r="AO104" s="56">
        <f t="shared" si="73"/>
        <v>0</v>
      </c>
      <c r="AP104" s="56">
        <f t="shared" si="74"/>
        <v>0</v>
      </c>
      <c r="AQ104" s="53">
        <f t="shared" si="75"/>
        <v>0</v>
      </c>
      <c r="AR104" s="53">
        <f t="shared" si="76"/>
        <v>0</v>
      </c>
      <c r="AS104" s="39"/>
      <c r="AT104" s="68">
        <f t="shared" si="77"/>
        <v>0</v>
      </c>
      <c r="AU104" s="68">
        <f t="shared" si="78"/>
        <v>0</v>
      </c>
      <c r="AV104" s="68">
        <f t="shared" si="79"/>
        <v>0</v>
      </c>
      <c r="AW104" s="68">
        <f t="shared" si="66"/>
        <v>0</v>
      </c>
      <c r="AX104" s="39"/>
      <c r="AY104" s="39"/>
    </row>
    <row r="105" spans="1:51" x14ac:dyDescent="0.25">
      <c r="A105" s="30">
        <v>2070</v>
      </c>
      <c r="B105" s="33">
        <f>w_uf*UF*Parámetros!C92</f>
        <v>1522894.8500536196</v>
      </c>
      <c r="C105" s="30">
        <f t="shared" si="61"/>
        <v>91</v>
      </c>
      <c r="D105" s="30">
        <f>((A105=Inputs!$C$12)*(Inputs!$D$12) + (A105=Inputs!$C$13)*(Inputs!$D$13) + (A105=Inputs!$C$14)*(Inputs!$D$14)) *(A105 &gt;= a_afil)*(A105&gt;=2024)</f>
        <v>0</v>
      </c>
      <c r="E105" s="30">
        <f>MIN(1,(A105=Inputs!$C$19)*Inputs!$D$19+(A105=Inputs!$C$20)*Inputs!$D$20+(A105=Inputs!$C$21)*Inputs!$D$21*(A105 &gt;= a_afil))</f>
        <v>0</v>
      </c>
      <c r="F105" s="30">
        <f t="shared" si="62"/>
        <v>0</v>
      </c>
      <c r="G105" s="30">
        <f t="shared" si="63"/>
        <v>0</v>
      </c>
      <c r="H105" s="30">
        <v>0.37281429767608643</v>
      </c>
      <c r="I105" s="37">
        <f t="shared" si="69"/>
        <v>0</v>
      </c>
      <c r="J105" s="37">
        <f t="shared" si="70"/>
        <v>0</v>
      </c>
      <c r="K105" s="30">
        <f>1*OR(Inputs!$D$17=$A105,Inputs!$E$17=$A105)*($E105=0)*(F105=1)</f>
        <v>0</v>
      </c>
      <c r="L105" s="30">
        <f>1*OR(Inputs!$D$17=$A105,Inputs!$E$17=$A105)*($E105=0)*(G105=1)</f>
        <v>0</v>
      </c>
      <c r="M105" s="73">
        <f t="shared" si="59"/>
        <v>0</v>
      </c>
      <c r="N105" s="73">
        <f t="shared" si="60"/>
        <v>0</v>
      </c>
      <c r="O105" s="55">
        <f>Parámetros!$E92*12*I105*$P$14</f>
        <v>0</v>
      </c>
      <c r="P105" s="55">
        <f>Parámetros!$E92*12*J105*$P$14</f>
        <v>0</v>
      </c>
      <c r="Q105" s="70">
        <f t="shared" si="39"/>
        <v>0</v>
      </c>
      <c r="R105" s="70">
        <f t="shared" si="40"/>
        <v>0</v>
      </c>
      <c r="S105" s="68">
        <f t="shared" si="84"/>
        <v>0</v>
      </c>
      <c r="T105" s="68">
        <f t="shared" si="85"/>
        <v>0</v>
      </c>
      <c r="U105" s="177"/>
      <c r="V105" s="68">
        <f t="shared" si="80"/>
        <v>0</v>
      </c>
      <c r="W105" s="68">
        <f t="shared" si="81"/>
        <v>0</v>
      </c>
      <c r="X105" s="54">
        <f t="shared" si="67"/>
        <v>0</v>
      </c>
      <c r="Y105" s="54">
        <f t="shared" si="68"/>
        <v>0</v>
      </c>
      <c r="Z105" s="55">
        <f t="shared" si="82"/>
        <v>0</v>
      </c>
      <c r="AA105" s="55">
        <f t="shared" si="83"/>
        <v>0</v>
      </c>
      <c r="AB105" s="53">
        <f>D105*mmater*Parámetros!$G92*$X$5+AB104*(1+i_noc)</f>
        <v>0</v>
      </c>
      <c r="AC105" s="53">
        <f>E105*12*Parámetros!$F92*$X$5+AC104*(1+i_noc)</f>
        <v>1913266.0741449259</v>
      </c>
      <c r="AD105" s="53"/>
      <c r="AE105" s="53"/>
      <c r="AF105" s="175"/>
      <c r="AG105" s="74">
        <f>($A105=D$9)*X105/(12*_xlfn.XLOOKUP(AG$15,sexo_cnu,cnu))</f>
        <v>0</v>
      </c>
      <c r="AH105" s="52">
        <f t="shared" si="65"/>
        <v>0</v>
      </c>
      <c r="AI105" s="56">
        <f t="shared" si="71"/>
        <v>0</v>
      </c>
      <c r="AJ105" s="56">
        <f t="shared" si="72"/>
        <v>0</v>
      </c>
      <c r="AK105" s="56"/>
      <c r="AL105" s="56"/>
      <c r="AM105" s="56"/>
      <c r="AN105" s="56"/>
      <c r="AO105" s="56">
        <f t="shared" si="73"/>
        <v>0</v>
      </c>
      <c r="AP105" s="56">
        <f t="shared" si="74"/>
        <v>0</v>
      </c>
      <c r="AQ105" s="53">
        <f t="shared" si="75"/>
        <v>0</v>
      </c>
      <c r="AR105" s="53">
        <f t="shared" si="76"/>
        <v>0</v>
      </c>
      <c r="AS105" s="39"/>
      <c r="AT105" s="68">
        <f t="shared" si="77"/>
        <v>0</v>
      </c>
      <c r="AU105" s="68">
        <f t="shared" si="78"/>
        <v>0</v>
      </c>
      <c r="AV105" s="68">
        <f t="shared" si="79"/>
        <v>0</v>
      </c>
      <c r="AW105" s="68">
        <f t="shared" si="66"/>
        <v>0</v>
      </c>
      <c r="AX105" s="39"/>
      <c r="AY105" s="39"/>
    </row>
    <row r="106" spans="1:51" x14ac:dyDescent="0.25">
      <c r="A106" s="30">
        <v>2071</v>
      </c>
      <c r="B106" s="33">
        <f>w_uf*UF*Parámetros!C93</f>
        <v>1541931.0356792898</v>
      </c>
      <c r="C106" s="30">
        <f t="shared" si="61"/>
        <v>92</v>
      </c>
      <c r="D106" s="30">
        <f>((A106=Inputs!$C$12)*(Inputs!$D$12) + (A106=Inputs!$C$13)*(Inputs!$D$13) + (A106=Inputs!$C$14)*(Inputs!$D$14)) *(A106 &gt;= a_afil)*(A106&gt;=2024)</f>
        <v>0</v>
      </c>
      <c r="E106" s="30">
        <f>MIN(1,(A106=Inputs!$C$19)*Inputs!$D$19+(A106=Inputs!$C$20)*Inputs!$D$20+(A106=Inputs!$C$21)*Inputs!$D$21*(A106 &gt;= a_afil))</f>
        <v>0</v>
      </c>
      <c r="F106" s="30">
        <f t="shared" si="62"/>
        <v>0</v>
      </c>
      <c r="G106" s="30">
        <f t="shared" si="63"/>
        <v>0</v>
      </c>
      <c r="H106" s="30">
        <v>0.32355481386184692</v>
      </c>
      <c r="I106" s="37">
        <f t="shared" si="69"/>
        <v>0</v>
      </c>
      <c r="J106" s="37">
        <f t="shared" si="70"/>
        <v>0</v>
      </c>
      <c r="K106" s="30">
        <f>1*OR(Inputs!$D$17=$A106,Inputs!$E$17=$A106)*($E106=0)*(F106=1)</f>
        <v>0</v>
      </c>
      <c r="L106" s="30">
        <f>1*OR(Inputs!$D$17=$A106,Inputs!$E$17=$A106)*($E106=0)*(G106=1)</f>
        <v>0</v>
      </c>
      <c r="M106" s="73">
        <f t="shared" si="59"/>
        <v>0</v>
      </c>
      <c r="N106" s="73">
        <f t="shared" si="60"/>
        <v>0</v>
      </c>
      <c r="O106" s="55">
        <f>Parámetros!$E93*12*I106*$P$14</f>
        <v>0</v>
      </c>
      <c r="P106" s="55">
        <f>Parámetros!$E93*12*J106*$P$14</f>
        <v>0</v>
      </c>
      <c r="Q106" s="70">
        <f t="shared" si="39"/>
        <v>0</v>
      </c>
      <c r="R106" s="70">
        <f t="shared" si="40"/>
        <v>0</v>
      </c>
      <c r="S106" s="68">
        <f t="shared" si="84"/>
        <v>0</v>
      </c>
      <c r="T106" s="68">
        <f t="shared" si="85"/>
        <v>0</v>
      </c>
      <c r="U106" s="177"/>
      <c r="V106" s="68">
        <f t="shared" si="80"/>
        <v>0</v>
      </c>
      <c r="W106" s="68">
        <f t="shared" si="81"/>
        <v>0</v>
      </c>
      <c r="X106" s="54">
        <f t="shared" si="67"/>
        <v>0</v>
      </c>
      <c r="Y106" s="54">
        <f t="shared" si="68"/>
        <v>0</v>
      </c>
      <c r="Z106" s="55">
        <f t="shared" si="82"/>
        <v>0</v>
      </c>
      <c r="AA106" s="55">
        <f t="shared" si="83"/>
        <v>0</v>
      </c>
      <c r="AB106" s="53">
        <f>D106*mmater*Parámetros!$G93*$X$5+AB105*(1+i_noc)</f>
        <v>0</v>
      </c>
      <c r="AC106" s="53">
        <f>E106*12*Parámetros!$F93*$X$5+AC105*(1+i_noc)</f>
        <v>1951531.3956278246</v>
      </c>
      <c r="AD106" s="53"/>
      <c r="AE106" s="53"/>
      <c r="AF106" s="175"/>
      <c r="AG106" s="74">
        <f t="shared" si="64"/>
        <v>0</v>
      </c>
      <c r="AH106" s="52">
        <f t="shared" si="65"/>
        <v>0</v>
      </c>
      <c r="AI106" s="56">
        <f t="shared" si="71"/>
        <v>0</v>
      </c>
      <c r="AJ106" s="56">
        <f t="shared" si="72"/>
        <v>0</v>
      </c>
      <c r="AK106" s="56"/>
      <c r="AL106" s="56"/>
      <c r="AM106" s="56"/>
      <c r="AN106" s="56"/>
      <c r="AO106" s="56">
        <f t="shared" si="73"/>
        <v>0</v>
      </c>
      <c r="AP106" s="56">
        <f t="shared" si="74"/>
        <v>0</v>
      </c>
      <c r="AQ106" s="53">
        <f t="shared" si="75"/>
        <v>0</v>
      </c>
      <c r="AR106" s="53">
        <f t="shared" si="76"/>
        <v>0</v>
      </c>
      <c r="AS106" s="39"/>
      <c r="AT106" s="68">
        <f t="shared" si="77"/>
        <v>0</v>
      </c>
      <c r="AU106" s="68">
        <f t="shared" si="78"/>
        <v>0</v>
      </c>
      <c r="AV106" s="68">
        <f t="shared" si="79"/>
        <v>0</v>
      </c>
      <c r="AW106" s="68">
        <f t="shared" si="66"/>
        <v>0</v>
      </c>
      <c r="AX106" s="39"/>
      <c r="AY106" s="39"/>
    </row>
    <row r="107" spans="1:51" x14ac:dyDescent="0.25">
      <c r="A107" s="30">
        <v>2072</v>
      </c>
      <c r="B107" s="33">
        <f>w_uf*UF*Parámetros!C94</f>
        <v>1561205.1736252808</v>
      </c>
      <c r="C107" s="30">
        <f t="shared" si="61"/>
        <v>93</v>
      </c>
      <c r="D107" s="30">
        <f>((A107=Inputs!$C$12)*(Inputs!$D$12) + (A107=Inputs!$C$13)*(Inputs!$D$13) + (A107=Inputs!$C$14)*(Inputs!$D$14)) *(A107 &gt;= a_afil)*(A107&gt;=2024)</f>
        <v>0</v>
      </c>
      <c r="E107" s="30">
        <f>MIN(1,(A107=Inputs!$C$19)*Inputs!$D$19+(A107=Inputs!$C$20)*Inputs!$D$20+(A107=Inputs!$C$21)*Inputs!$D$21*(A107 &gt;= a_afil))</f>
        <v>0</v>
      </c>
      <c r="F107" s="30">
        <f t="shared" si="62"/>
        <v>0</v>
      </c>
      <c r="G107" s="30">
        <f t="shared" si="63"/>
        <v>0</v>
      </c>
      <c r="H107" s="30">
        <v>0.77083277702331543</v>
      </c>
      <c r="I107" s="37">
        <f t="shared" si="69"/>
        <v>0</v>
      </c>
      <c r="J107" s="37">
        <f t="shared" si="70"/>
        <v>0</v>
      </c>
      <c r="K107" s="30">
        <f>1*OR(Inputs!$D$17=$A107,Inputs!$E$17=$A107)*($E107=0)*(F107=1)</f>
        <v>0</v>
      </c>
      <c r="L107" s="30">
        <f>1*OR(Inputs!$D$17=$A107,Inputs!$E$17=$A107)*($E107=0)*(G107=1)</f>
        <v>0</v>
      </c>
      <c r="M107" s="73">
        <f t="shared" si="59"/>
        <v>0</v>
      </c>
      <c r="N107" s="73">
        <f t="shared" si="60"/>
        <v>0</v>
      </c>
      <c r="O107" s="55">
        <f>Parámetros!$E94*12*I107*$P$14</f>
        <v>0</v>
      </c>
      <c r="P107" s="55">
        <f>Parámetros!$E94*12*J107*$P$14</f>
        <v>0</v>
      </c>
      <c r="Q107" s="70">
        <f t="shared" si="39"/>
        <v>0</v>
      </c>
      <c r="R107" s="70">
        <f t="shared" si="40"/>
        <v>0</v>
      </c>
      <c r="S107" s="68">
        <f t="shared" si="84"/>
        <v>0</v>
      </c>
      <c r="T107" s="68">
        <f t="shared" si="85"/>
        <v>0</v>
      </c>
      <c r="U107" s="177"/>
      <c r="V107" s="68">
        <f t="shared" si="80"/>
        <v>0</v>
      </c>
      <c r="W107" s="68">
        <f t="shared" si="81"/>
        <v>0</v>
      </c>
      <c r="X107" s="54">
        <f t="shared" si="67"/>
        <v>0</v>
      </c>
      <c r="Y107" s="54">
        <f t="shared" si="68"/>
        <v>0</v>
      </c>
      <c r="Z107" s="55">
        <f t="shared" si="82"/>
        <v>0</v>
      </c>
      <c r="AA107" s="55">
        <f t="shared" si="83"/>
        <v>0</v>
      </c>
      <c r="AB107" s="53">
        <f>D107*mmater*Parámetros!$G94*$X$5+AB106*(1+i_noc)</f>
        <v>0</v>
      </c>
      <c r="AC107" s="53">
        <f>E107*12*Parámetros!$F94*$X$5+AC106*(1+i_noc)</f>
        <v>1990562.0235403811</v>
      </c>
      <c r="AD107" s="53"/>
      <c r="AE107" s="53"/>
      <c r="AF107" s="175"/>
      <c r="AG107" s="74">
        <f t="shared" si="64"/>
        <v>0</v>
      </c>
      <c r="AH107" s="52">
        <f t="shared" si="65"/>
        <v>0</v>
      </c>
      <c r="AI107" s="56">
        <f t="shared" si="71"/>
        <v>0</v>
      </c>
      <c r="AJ107" s="56">
        <f t="shared" si="72"/>
        <v>0</v>
      </c>
      <c r="AK107" s="56"/>
      <c r="AL107" s="56"/>
      <c r="AM107" s="56"/>
      <c r="AN107" s="56"/>
      <c r="AO107" s="56">
        <f t="shared" si="73"/>
        <v>0</v>
      </c>
      <c r="AP107" s="56">
        <f t="shared" si="74"/>
        <v>0</v>
      </c>
      <c r="AQ107" s="53">
        <f t="shared" si="75"/>
        <v>0</v>
      </c>
      <c r="AR107" s="53">
        <f t="shared" si="76"/>
        <v>0</v>
      </c>
      <c r="AS107" s="39"/>
      <c r="AT107" s="68">
        <f t="shared" si="77"/>
        <v>0</v>
      </c>
      <c r="AU107" s="68">
        <f t="shared" si="78"/>
        <v>0</v>
      </c>
      <c r="AV107" s="68">
        <f t="shared" si="79"/>
        <v>0</v>
      </c>
      <c r="AW107" s="68">
        <f t="shared" si="66"/>
        <v>0</v>
      </c>
      <c r="AX107" s="39"/>
      <c r="AY107" s="39"/>
    </row>
    <row r="108" spans="1:51" x14ac:dyDescent="0.25">
      <c r="A108" s="30">
        <v>2073</v>
      </c>
      <c r="B108" s="33">
        <f>w_uf*UF*Parámetros!C95</f>
        <v>1580720.2382955968</v>
      </c>
      <c r="C108" s="30">
        <f t="shared" si="61"/>
        <v>94</v>
      </c>
      <c r="D108" s="30">
        <f>((A108=Inputs!$C$12)*(Inputs!$D$12) + (A108=Inputs!$C$13)*(Inputs!$D$13) + (A108=Inputs!$C$14)*(Inputs!$D$14)) *(A108 &gt;= a_afil)*(A108&gt;=2024)</f>
        <v>0</v>
      </c>
      <c r="E108" s="30">
        <f>MIN(1,(A108=Inputs!$C$19)*Inputs!$D$19+(A108=Inputs!$C$20)*Inputs!$D$20+(A108=Inputs!$C$21)*Inputs!$D$21*(A108 &gt;= a_afil))</f>
        <v>0</v>
      </c>
      <c r="F108" s="30">
        <f t="shared" si="62"/>
        <v>0</v>
      </c>
      <c r="G108" s="30">
        <f t="shared" si="63"/>
        <v>0</v>
      </c>
      <c r="H108" s="30">
        <v>0.21800035238265991</v>
      </c>
      <c r="I108" s="37">
        <f t="shared" si="69"/>
        <v>0</v>
      </c>
      <c r="J108" s="37">
        <f t="shared" si="70"/>
        <v>0</v>
      </c>
      <c r="K108" s="30">
        <f>1*OR(Inputs!$D$17=$A108,Inputs!$E$17=$A108)*($E108=0)*(F108=1)</f>
        <v>0</v>
      </c>
      <c r="L108" s="30">
        <f>1*OR(Inputs!$D$17=$A108,Inputs!$E$17=$A108)*($E108=0)*(G108=1)</f>
        <v>0</v>
      </c>
      <c r="M108" s="73">
        <f t="shared" si="59"/>
        <v>0</v>
      </c>
      <c r="N108" s="73">
        <f t="shared" si="60"/>
        <v>0</v>
      </c>
      <c r="O108" s="55">
        <f>Parámetros!$E95*12*I108*$P$14</f>
        <v>0</v>
      </c>
      <c r="P108" s="55">
        <f>Parámetros!$E95*12*J108*$P$14</f>
        <v>0</v>
      </c>
      <c r="Q108" s="70">
        <f t="shared" si="39"/>
        <v>0</v>
      </c>
      <c r="R108" s="70">
        <f t="shared" si="40"/>
        <v>0</v>
      </c>
      <c r="S108" s="68">
        <f t="shared" si="84"/>
        <v>0</v>
      </c>
      <c r="T108" s="68">
        <f t="shared" si="85"/>
        <v>0</v>
      </c>
      <c r="U108" s="177"/>
      <c r="V108" s="68">
        <f t="shared" si="80"/>
        <v>0</v>
      </c>
      <c r="W108" s="68">
        <f t="shared" si="81"/>
        <v>0</v>
      </c>
      <c r="X108" s="54">
        <f t="shared" si="67"/>
        <v>0</v>
      </c>
      <c r="Y108" s="54">
        <f t="shared" si="68"/>
        <v>0</v>
      </c>
      <c r="Z108" s="55">
        <f t="shared" si="82"/>
        <v>0</v>
      </c>
      <c r="AA108" s="55">
        <f t="shared" si="83"/>
        <v>0</v>
      </c>
      <c r="AB108" s="53">
        <f>D108*mmater*Parámetros!$G95*$X$5+AB107*(1+i_noc)</f>
        <v>0</v>
      </c>
      <c r="AC108" s="53">
        <f>E108*12*Parámetros!$F95*$X$5+AC107*(1+i_noc)</f>
        <v>2030373.2640111889</v>
      </c>
      <c r="AD108" s="53"/>
      <c r="AE108" s="53"/>
      <c r="AF108" s="175"/>
      <c r="AG108" s="74">
        <f t="shared" si="64"/>
        <v>0</v>
      </c>
      <c r="AH108" s="52">
        <f t="shared" si="65"/>
        <v>0</v>
      </c>
      <c r="AI108" s="56">
        <f t="shared" si="71"/>
        <v>0</v>
      </c>
      <c r="AJ108" s="56">
        <f t="shared" si="72"/>
        <v>0</v>
      </c>
      <c r="AK108" s="56"/>
      <c r="AL108" s="56"/>
      <c r="AM108" s="56"/>
      <c r="AN108" s="56"/>
      <c r="AO108" s="56">
        <f t="shared" si="73"/>
        <v>0</v>
      </c>
      <c r="AP108" s="56">
        <f t="shared" si="74"/>
        <v>0</v>
      </c>
      <c r="AQ108" s="53">
        <f t="shared" si="75"/>
        <v>0</v>
      </c>
      <c r="AR108" s="53">
        <f t="shared" si="76"/>
        <v>0</v>
      </c>
      <c r="AS108" s="39"/>
      <c r="AT108" s="68">
        <f t="shared" si="77"/>
        <v>0</v>
      </c>
      <c r="AU108" s="68">
        <f t="shared" si="78"/>
        <v>0</v>
      </c>
      <c r="AV108" s="68">
        <f t="shared" si="79"/>
        <v>0</v>
      </c>
      <c r="AW108" s="68">
        <f t="shared" si="66"/>
        <v>0</v>
      </c>
      <c r="AX108" s="39"/>
      <c r="AY108" s="39"/>
    </row>
    <row r="109" spans="1:51" x14ac:dyDescent="0.25">
      <c r="A109" s="30">
        <v>2074</v>
      </c>
      <c r="B109" s="33">
        <f>w_uf*UF*Parámetros!C96</f>
        <v>1600479.2412742916</v>
      </c>
      <c r="C109" s="30">
        <f t="shared" si="61"/>
        <v>95</v>
      </c>
      <c r="D109" s="30">
        <f>((A109=Inputs!$C$12)*(Inputs!$D$12) + (A109=Inputs!$C$13)*(Inputs!$D$13) + (A109=Inputs!$C$14)*(Inputs!$D$14)) *(A109 &gt;= a_afil)*(A109&gt;=2024)</f>
        <v>0</v>
      </c>
      <c r="E109" s="30">
        <f>MIN(1,(A109=Inputs!$C$19)*Inputs!$D$19+(A109=Inputs!$C$20)*Inputs!$D$20+(A109=Inputs!$C$21)*Inputs!$D$21*(A109 &gt;= a_afil))</f>
        <v>0</v>
      </c>
      <c r="F109" s="30">
        <f t="shared" si="62"/>
        <v>0</v>
      </c>
      <c r="G109" s="30">
        <f t="shared" si="63"/>
        <v>0</v>
      </c>
      <c r="H109" s="30">
        <v>0.44699323177337646</v>
      </c>
      <c r="I109" s="37">
        <f t="shared" si="69"/>
        <v>0</v>
      </c>
      <c r="J109" s="37">
        <f t="shared" si="70"/>
        <v>0</v>
      </c>
      <c r="K109" s="30">
        <f>1*OR(Inputs!$D$17=$A109,Inputs!$E$17=$A109)*($E109=0)*(F109=1)</f>
        <v>0</v>
      </c>
      <c r="L109" s="30">
        <f>1*OR(Inputs!$D$17=$A109,Inputs!$E$17=$A109)*($E109=0)*(G109=1)</f>
        <v>0</v>
      </c>
      <c r="M109" s="73">
        <f t="shared" si="59"/>
        <v>0</v>
      </c>
      <c r="N109" s="73">
        <f t="shared" si="60"/>
        <v>0</v>
      </c>
      <c r="O109" s="55">
        <f>Parámetros!$E96*12*I109*$P$14</f>
        <v>0</v>
      </c>
      <c r="P109" s="55">
        <f>Parámetros!$E96*12*J109*$P$14</f>
        <v>0</v>
      </c>
      <c r="Q109" s="70">
        <f t="shared" si="39"/>
        <v>0</v>
      </c>
      <c r="R109" s="70">
        <f t="shared" si="40"/>
        <v>0</v>
      </c>
      <c r="S109" s="68">
        <f t="shared" si="84"/>
        <v>0</v>
      </c>
      <c r="T109" s="68">
        <f t="shared" si="85"/>
        <v>0</v>
      </c>
      <c r="U109" s="177"/>
      <c r="V109" s="68">
        <f t="shared" si="80"/>
        <v>0</v>
      </c>
      <c r="W109" s="68">
        <f t="shared" si="81"/>
        <v>0</v>
      </c>
      <c r="X109" s="54">
        <f t="shared" si="67"/>
        <v>0</v>
      </c>
      <c r="Y109" s="54">
        <f t="shared" si="68"/>
        <v>0</v>
      </c>
      <c r="Z109" s="55">
        <f t="shared" si="82"/>
        <v>0</v>
      </c>
      <c r="AA109" s="55">
        <f t="shared" si="83"/>
        <v>0</v>
      </c>
      <c r="AB109" s="53">
        <f>D109*mmater*Parámetros!$G96*$X$5+AB108*(1+i_noc)</f>
        <v>0</v>
      </c>
      <c r="AC109" s="53">
        <f>E109*12*Parámetros!$F96*$X$5+AC108*(1+i_noc)</f>
        <v>2070980.7292914127</v>
      </c>
      <c r="AD109" s="53"/>
      <c r="AE109" s="53"/>
      <c r="AF109" s="175"/>
      <c r="AG109" s="74">
        <f t="shared" si="64"/>
        <v>0</v>
      </c>
      <c r="AH109" s="52">
        <f t="shared" si="65"/>
        <v>0</v>
      </c>
      <c r="AI109" s="56">
        <f t="shared" si="71"/>
        <v>0</v>
      </c>
      <c r="AJ109" s="56">
        <f t="shared" si="72"/>
        <v>0</v>
      </c>
      <c r="AK109" s="56"/>
      <c r="AL109" s="56"/>
      <c r="AM109" s="56"/>
      <c r="AN109" s="56"/>
      <c r="AO109" s="56">
        <f t="shared" si="73"/>
        <v>0</v>
      </c>
      <c r="AP109" s="56">
        <f t="shared" si="74"/>
        <v>0</v>
      </c>
      <c r="AQ109" s="53">
        <f t="shared" si="75"/>
        <v>0</v>
      </c>
      <c r="AR109" s="53">
        <f t="shared" si="76"/>
        <v>0</v>
      </c>
      <c r="AS109" s="39"/>
      <c r="AT109" s="68">
        <f t="shared" si="77"/>
        <v>0</v>
      </c>
      <c r="AU109" s="68">
        <f t="shared" si="78"/>
        <v>0</v>
      </c>
      <c r="AV109" s="68">
        <f t="shared" si="79"/>
        <v>0</v>
      </c>
      <c r="AW109" s="68">
        <f t="shared" si="66"/>
        <v>0</v>
      </c>
      <c r="AX109" s="39"/>
      <c r="AY109" s="39"/>
    </row>
    <row r="110" spans="1:51" x14ac:dyDescent="0.25">
      <c r="A110" s="30">
        <v>2075</v>
      </c>
      <c r="B110" s="33">
        <f>w_uf*UF*Parámetros!C97</f>
        <v>1620485.2317902204</v>
      </c>
      <c r="C110" s="30">
        <f t="shared" si="61"/>
        <v>96</v>
      </c>
      <c r="D110" s="30">
        <f>((A110=Inputs!$C$12)*(Inputs!$D$12) + (A110=Inputs!$C$13)*(Inputs!$D$13) + (A110=Inputs!$C$14)*(Inputs!$D$14)) *(A110 &gt;= a_afil)*(A110&gt;=2024)</f>
        <v>0</v>
      </c>
      <c r="E110" s="30">
        <f>MIN(1,(A110=Inputs!$C$19)*Inputs!$D$19+(A110=Inputs!$C$20)*Inputs!$D$20+(A110=Inputs!$C$21)*Inputs!$D$21*(A110 &gt;= a_afil))</f>
        <v>0</v>
      </c>
      <c r="F110" s="30">
        <f t="shared" si="62"/>
        <v>0</v>
      </c>
      <c r="G110" s="30">
        <f t="shared" si="63"/>
        <v>0</v>
      </c>
      <c r="H110" s="30">
        <v>0.23602777719497681</v>
      </c>
      <c r="I110" s="37">
        <f t="shared" si="69"/>
        <v>0</v>
      </c>
      <c r="J110" s="37">
        <f t="shared" si="70"/>
        <v>0</v>
      </c>
      <c r="K110" s="30">
        <f>1*OR(Inputs!$D$17=$A110,Inputs!$E$17=$A110)*($E110=0)*(F110=1)</f>
        <v>0</v>
      </c>
      <c r="L110" s="30">
        <f>1*OR(Inputs!$D$17=$A110,Inputs!$E$17=$A110)*($E110=0)*(G110=1)</f>
        <v>0</v>
      </c>
      <c r="M110" s="73">
        <f t="shared" si="59"/>
        <v>0</v>
      </c>
      <c r="N110" s="73">
        <f t="shared" si="60"/>
        <v>0</v>
      </c>
      <c r="O110" s="55">
        <f>Parámetros!$E97*12*I110*$P$14</f>
        <v>0</v>
      </c>
      <c r="P110" s="55">
        <f>Parámetros!$E97*12*J110*$P$14</f>
        <v>0</v>
      </c>
      <c r="Q110" s="70">
        <f t="shared" si="39"/>
        <v>0</v>
      </c>
      <c r="R110" s="70">
        <f t="shared" si="40"/>
        <v>0</v>
      </c>
      <c r="S110" s="68">
        <f t="shared" si="84"/>
        <v>0</v>
      </c>
      <c r="T110" s="68">
        <f t="shared" si="85"/>
        <v>0</v>
      </c>
      <c r="U110" s="177"/>
      <c r="V110" s="68">
        <f t="shared" si="80"/>
        <v>0</v>
      </c>
      <c r="W110" s="68">
        <f t="shared" si="81"/>
        <v>0</v>
      </c>
      <c r="X110" s="54">
        <f t="shared" si="67"/>
        <v>0</v>
      </c>
      <c r="Y110" s="54">
        <f t="shared" si="68"/>
        <v>0</v>
      </c>
      <c r="Z110" s="55">
        <f t="shared" si="82"/>
        <v>0</v>
      </c>
      <c r="AA110" s="55">
        <f t="shared" si="83"/>
        <v>0</v>
      </c>
      <c r="AB110" s="53">
        <f>D110*mmater*Parámetros!$G97*$X$5+AB109*(1+i_noc)</f>
        <v>0</v>
      </c>
      <c r="AC110" s="53">
        <f>E110*12*Parámetros!$F97*$X$5+AC109*(1+i_noc)</f>
        <v>2112400.343877241</v>
      </c>
      <c r="AD110" s="53"/>
      <c r="AE110" s="53"/>
      <c r="AF110" s="175"/>
      <c r="AG110" s="74">
        <f t="shared" si="64"/>
        <v>0</v>
      </c>
      <c r="AH110" s="52">
        <f t="shared" si="65"/>
        <v>0</v>
      </c>
      <c r="AI110" s="56">
        <f t="shared" si="71"/>
        <v>0</v>
      </c>
      <c r="AJ110" s="56">
        <f t="shared" si="72"/>
        <v>0</v>
      </c>
      <c r="AK110" s="56"/>
      <c r="AL110" s="56"/>
      <c r="AM110" s="56"/>
      <c r="AN110" s="56"/>
      <c r="AO110" s="56">
        <f t="shared" si="73"/>
        <v>0</v>
      </c>
      <c r="AP110" s="56">
        <f t="shared" si="74"/>
        <v>0</v>
      </c>
      <c r="AQ110" s="53">
        <f t="shared" si="75"/>
        <v>0</v>
      </c>
      <c r="AR110" s="53">
        <f t="shared" si="76"/>
        <v>0</v>
      </c>
      <c r="AS110" s="39"/>
      <c r="AT110" s="68">
        <f t="shared" si="77"/>
        <v>0</v>
      </c>
      <c r="AU110" s="68">
        <f t="shared" si="78"/>
        <v>0</v>
      </c>
      <c r="AV110" s="68">
        <f t="shared" si="79"/>
        <v>0</v>
      </c>
      <c r="AW110" s="68">
        <f t="shared" si="66"/>
        <v>0</v>
      </c>
      <c r="AX110" s="39"/>
      <c r="AY110" s="39"/>
    </row>
    <row r="111" spans="1:51" x14ac:dyDescent="0.25">
      <c r="A111" s="30">
        <v>2076</v>
      </c>
      <c r="B111" s="33">
        <f>w_uf*UF*Parámetros!C98</f>
        <v>1640741.297187598</v>
      </c>
      <c r="C111" s="30">
        <f t="shared" si="61"/>
        <v>97</v>
      </c>
      <c r="D111" s="30">
        <f>((A111=Inputs!$C$12)*(Inputs!$D$12) + (A111=Inputs!$C$13)*(Inputs!$D$13) + (A111=Inputs!$C$14)*(Inputs!$D$14)) *(A111 &gt;= a_afil)*(A111&gt;=2024)</f>
        <v>0</v>
      </c>
      <c r="E111" s="30">
        <f>MIN(1,(A111=Inputs!$C$19)*Inputs!$D$19+(A111=Inputs!$C$20)*Inputs!$D$20+(A111=Inputs!$C$21)*Inputs!$D$21*(A111 &gt;= a_afil))</f>
        <v>0</v>
      </c>
      <c r="F111" s="30">
        <f t="shared" si="62"/>
        <v>0</v>
      </c>
      <c r="G111" s="30">
        <f t="shared" si="63"/>
        <v>0</v>
      </c>
      <c r="H111" s="30">
        <v>0.87838459014892578</v>
      </c>
      <c r="I111" s="37">
        <f t="shared" si="69"/>
        <v>0</v>
      </c>
      <c r="J111" s="37">
        <f t="shared" si="70"/>
        <v>0</v>
      </c>
      <c r="K111" s="30">
        <f>1*OR(Inputs!$D$17=$A111,Inputs!$E$17=$A111)*($E111=0)*(F111=1)</f>
        <v>0</v>
      </c>
      <c r="L111" s="30">
        <f>1*OR(Inputs!$D$17=$A111,Inputs!$E$17=$A111)*($E111=0)*(G111=1)</f>
        <v>0</v>
      </c>
      <c r="M111" s="73">
        <f t="shared" si="59"/>
        <v>0</v>
      </c>
      <c r="N111" s="73">
        <f t="shared" si="60"/>
        <v>0</v>
      </c>
      <c r="O111" s="55">
        <f>Parámetros!$E98*12*I111*$P$14</f>
        <v>0</v>
      </c>
      <c r="P111" s="55">
        <f>Parámetros!$E98*12*J111*$P$14</f>
        <v>0</v>
      </c>
      <c r="Q111" s="70">
        <f t="shared" si="39"/>
        <v>0</v>
      </c>
      <c r="R111" s="70">
        <f t="shared" si="40"/>
        <v>0</v>
      </c>
      <c r="S111" s="68">
        <f t="shared" si="84"/>
        <v>0</v>
      </c>
      <c r="T111" s="68">
        <f t="shared" si="85"/>
        <v>0</v>
      </c>
      <c r="U111" s="177"/>
      <c r="V111" s="68">
        <f t="shared" si="80"/>
        <v>0</v>
      </c>
      <c r="W111" s="68">
        <f t="shared" si="81"/>
        <v>0</v>
      </c>
      <c r="X111" s="54">
        <f t="shared" si="67"/>
        <v>0</v>
      </c>
      <c r="Y111" s="54">
        <f t="shared" si="68"/>
        <v>0</v>
      </c>
      <c r="Z111" s="55">
        <f t="shared" si="82"/>
        <v>0</v>
      </c>
      <c r="AA111" s="55">
        <f t="shared" si="83"/>
        <v>0</v>
      </c>
      <c r="AB111" s="53">
        <f>D111*mmater*Parámetros!$G98*$X$5+AB110*(1+i_noc)</f>
        <v>0</v>
      </c>
      <c r="AC111" s="53">
        <f>E111*12*Parámetros!$F98*$X$5+AC110*(1+i_noc)</f>
        <v>2154648.3507547858</v>
      </c>
      <c r="AD111" s="53"/>
      <c r="AE111" s="53"/>
      <c r="AF111" s="175"/>
      <c r="AG111" s="74">
        <f t="shared" si="64"/>
        <v>0</v>
      </c>
      <c r="AH111" s="52">
        <f t="shared" si="65"/>
        <v>0</v>
      </c>
      <c r="AI111" s="56">
        <f t="shared" si="71"/>
        <v>0</v>
      </c>
      <c r="AJ111" s="56">
        <f t="shared" si="72"/>
        <v>0</v>
      </c>
      <c r="AK111" s="56"/>
      <c r="AL111" s="56"/>
      <c r="AM111" s="56"/>
      <c r="AN111" s="56"/>
      <c r="AO111" s="56">
        <f t="shared" si="73"/>
        <v>0</v>
      </c>
      <c r="AP111" s="56">
        <f t="shared" si="74"/>
        <v>0</v>
      </c>
      <c r="AQ111" s="53">
        <f t="shared" si="75"/>
        <v>0</v>
      </c>
      <c r="AR111" s="53">
        <f t="shared" si="76"/>
        <v>0</v>
      </c>
      <c r="AS111" s="39"/>
      <c r="AT111" s="68">
        <f t="shared" si="77"/>
        <v>0</v>
      </c>
      <c r="AU111" s="68">
        <f t="shared" si="78"/>
        <v>0</v>
      </c>
      <c r="AV111" s="68">
        <f t="shared" si="79"/>
        <v>0</v>
      </c>
      <c r="AW111" s="68">
        <f t="shared" si="66"/>
        <v>0</v>
      </c>
      <c r="AX111" s="39"/>
      <c r="AY111" s="39"/>
    </row>
    <row r="112" spans="1:51" x14ac:dyDescent="0.25">
      <c r="A112" s="30">
        <v>2077</v>
      </c>
      <c r="B112" s="33">
        <f>w_uf*UF*Parámetros!C99</f>
        <v>1661250.563402443</v>
      </c>
      <c r="C112" s="30">
        <f t="shared" ref="C112:C135" si="86">IF(AND(A112-a_nac&lt;=110,A112-a_nac&gt;0),A112-a_nac,"")</f>
        <v>98</v>
      </c>
      <c r="D112" s="30">
        <f>((A112=Inputs!$C$12)*(Inputs!$D$12) + (A112=Inputs!$C$13)*(Inputs!$D$13) + (A112=Inputs!$C$14)*(Inputs!$D$14)) *(A112 &gt;= a_afil)*(A112&gt;=2024)</f>
        <v>0</v>
      </c>
      <c r="E112" s="30">
        <f>MIN(1,(A112=Inputs!$C$19)*Inputs!$D$19+(A112=Inputs!$C$20)*Inputs!$D$20+(A112=Inputs!$C$21)*Inputs!$D$21*(A112 &gt;= a_afil))</f>
        <v>0</v>
      </c>
      <c r="F112" s="30">
        <f t="shared" ref="F112:F134" si="87" xml:space="preserve"> (C112&lt;edad_ret_h) * (A112&gt;=a_afil)</f>
        <v>0</v>
      </c>
      <c r="G112" s="30">
        <f t="shared" ref="G112:G134" si="88" xml:space="preserve"> (C112&lt;edad_ret_m) * (A112&gt;=a_afil)</f>
        <v>0</v>
      </c>
      <c r="H112" s="30">
        <v>0.61043280363082886</v>
      </c>
      <c r="I112" s="37">
        <f t="shared" si="69"/>
        <v>0</v>
      </c>
      <c r="J112" s="37">
        <f t="shared" si="70"/>
        <v>0</v>
      </c>
      <c r="K112" s="30">
        <f>1*OR(Inputs!$D$17=$A112,Inputs!$E$17=$A112)*($E112=0)*(F112=1)</f>
        <v>0</v>
      </c>
      <c r="L112" s="30">
        <f>1*OR(Inputs!$D$17=$A112,Inputs!$E$17=$A112)*($E112=0)*(G112=1)</f>
        <v>0</v>
      </c>
      <c r="M112" s="73">
        <f t="shared" si="59"/>
        <v>0</v>
      </c>
      <c r="N112" s="73">
        <f t="shared" si="60"/>
        <v>0</v>
      </c>
      <c r="O112" s="55">
        <f>Parámetros!$E99*12*I112*$P$14</f>
        <v>0</v>
      </c>
      <c r="P112" s="55">
        <f>Parámetros!$E99*12*J112*$P$14</f>
        <v>0</v>
      </c>
      <c r="Q112" s="70">
        <f t="shared" si="39"/>
        <v>0</v>
      </c>
      <c r="R112" s="70">
        <f t="shared" si="40"/>
        <v>0</v>
      </c>
      <c r="S112" s="68">
        <f t="shared" si="84"/>
        <v>0</v>
      </c>
      <c r="T112" s="68">
        <f t="shared" si="85"/>
        <v>0</v>
      </c>
      <c r="U112" s="177"/>
      <c r="V112" s="68">
        <f t="shared" si="80"/>
        <v>0</v>
      </c>
      <c r="W112" s="68">
        <f t="shared" si="81"/>
        <v>0</v>
      </c>
      <c r="X112" s="54">
        <f t="shared" si="67"/>
        <v>0</v>
      </c>
      <c r="Y112" s="54">
        <f t="shared" si="68"/>
        <v>0</v>
      </c>
      <c r="Z112" s="55">
        <f t="shared" si="82"/>
        <v>0</v>
      </c>
      <c r="AA112" s="55">
        <f t="shared" si="83"/>
        <v>0</v>
      </c>
      <c r="AB112" s="53">
        <f>D112*mmater*Parámetros!$G99*$X$5+AB111*(1+i_noc)</f>
        <v>0</v>
      </c>
      <c r="AC112" s="53">
        <f>E112*12*Parámetros!$F99*$X$5+AC111*(1+i_noc)</f>
        <v>2197741.3177698818</v>
      </c>
      <c r="AD112" s="53"/>
      <c r="AE112" s="53"/>
      <c r="AF112" s="175"/>
      <c r="AG112" s="74">
        <f t="shared" ref="AG112:AG135" si="89">($A112=D$9)*X112/(12*_xlfn.XLOOKUP(AG$15,sexo_cnu,cnu))</f>
        <v>0</v>
      </c>
      <c r="AH112" s="52">
        <f t="shared" ref="AH112:AH135" si="90">($A112=E$9)*Y112/(12*_xlfn.XLOOKUP(AH$15,sexo_cnu,cnu))</f>
        <v>0</v>
      </c>
      <c r="AI112" s="56">
        <f t="shared" si="71"/>
        <v>0</v>
      </c>
      <c r="AJ112" s="56">
        <f t="shared" si="72"/>
        <v>0</v>
      </c>
      <c r="AK112" s="56"/>
      <c r="AL112" s="56"/>
      <c r="AM112" s="56"/>
      <c r="AN112" s="56"/>
      <c r="AO112" s="56">
        <f t="shared" si="73"/>
        <v>0</v>
      </c>
      <c r="AP112" s="56">
        <f t="shared" si="74"/>
        <v>0</v>
      </c>
      <c r="AQ112" s="53">
        <f t="shared" si="75"/>
        <v>0</v>
      </c>
      <c r="AR112" s="53">
        <f t="shared" si="76"/>
        <v>0</v>
      </c>
      <c r="AS112" s="39"/>
      <c r="AT112" s="68">
        <f t="shared" si="77"/>
        <v>0</v>
      </c>
      <c r="AU112" s="68">
        <f t="shared" si="78"/>
        <v>0</v>
      </c>
      <c r="AV112" s="68">
        <f t="shared" si="79"/>
        <v>0</v>
      </c>
      <c r="AW112" s="68">
        <f t="shared" ref="AW112:AW135" si="91">IF($A112=a_nac+edad_ret_m,AA112/(12*_xlfn.XLOOKUP(AW$15,sexo_cnu,cnu)),0)</f>
        <v>0</v>
      </c>
      <c r="AX112" s="39"/>
      <c r="AY112" s="39"/>
    </row>
    <row r="113" spans="1:51" x14ac:dyDescent="0.25">
      <c r="A113" s="30">
        <v>2078</v>
      </c>
      <c r="B113" s="33">
        <f>w_uf*UF*Parámetros!C100</f>
        <v>1682016.1954449732</v>
      </c>
      <c r="C113" s="30">
        <f t="shared" si="86"/>
        <v>99</v>
      </c>
      <c r="D113" s="30">
        <f>((A113=Inputs!$C$12)*(Inputs!$D$12) + (A113=Inputs!$C$13)*(Inputs!$D$13) + (A113=Inputs!$C$14)*(Inputs!$D$14)) *(A113 &gt;= a_afil)*(A113&gt;=2024)</f>
        <v>0</v>
      </c>
      <c r="E113" s="30">
        <f>MIN(1,(A113=Inputs!$C$19)*Inputs!$D$19+(A113=Inputs!$C$20)*Inputs!$D$20+(A113=Inputs!$C$21)*Inputs!$D$21*(A113 &gt;= a_afil))</f>
        <v>0</v>
      </c>
      <c r="F113" s="30">
        <f t="shared" si="87"/>
        <v>0</v>
      </c>
      <c r="G113" s="30">
        <f t="shared" si="88"/>
        <v>0</v>
      </c>
      <c r="H113" s="30">
        <v>0.37443220615386963</v>
      </c>
      <c r="I113" s="37">
        <f t="shared" si="69"/>
        <v>0</v>
      </c>
      <c r="J113" s="37">
        <f t="shared" si="70"/>
        <v>0</v>
      </c>
      <c r="K113" s="30">
        <f>1*OR(Inputs!$D$17=$A113,Inputs!$E$17=$A113)*($E113=0)*(F113=1)</f>
        <v>0</v>
      </c>
      <c r="L113" s="30">
        <f>1*OR(Inputs!$D$17=$A113,Inputs!$E$17=$A113)*($E113=0)*(G113=1)</f>
        <v>0</v>
      </c>
      <c r="M113" s="73">
        <f t="shared" si="59"/>
        <v>0</v>
      </c>
      <c r="N113" s="73">
        <f t="shared" si="60"/>
        <v>0</v>
      </c>
      <c r="O113" s="55">
        <f>Parámetros!$E100*12*I113*$P$14</f>
        <v>0</v>
      </c>
      <c r="P113" s="55">
        <f>Parámetros!$E100*12*J113*$P$14</f>
        <v>0</v>
      </c>
      <c r="Q113" s="70">
        <f t="shared" si="39"/>
        <v>0</v>
      </c>
      <c r="R113" s="70">
        <f t="shared" si="40"/>
        <v>0</v>
      </c>
      <c r="S113" s="68">
        <f t="shared" si="84"/>
        <v>0</v>
      </c>
      <c r="T113" s="68">
        <f t="shared" si="85"/>
        <v>0</v>
      </c>
      <c r="U113" s="177"/>
      <c r="V113" s="68">
        <f t="shared" si="80"/>
        <v>0</v>
      </c>
      <c r="W113" s="68">
        <f t="shared" si="81"/>
        <v>0</v>
      </c>
      <c r="X113" s="54">
        <f t="shared" ref="X113:X135" si="92">F112*X112*(1+_xlfn.XLOOKUP(MIN(2024,$A112),agnos_rent,rent_base))+Q113</f>
        <v>0</v>
      </c>
      <c r="Y113" s="54">
        <f t="shared" ref="Y113:Y135" si="93">G112*Y112*(1+_xlfn.XLOOKUP(MIN(2024,$A112),agnos_rent,rent_base))+R113</f>
        <v>0</v>
      </c>
      <c r="Z113" s="55">
        <f t="shared" si="82"/>
        <v>0</v>
      </c>
      <c r="AA113" s="55">
        <f t="shared" si="83"/>
        <v>0</v>
      </c>
      <c r="AB113" s="53">
        <f>D113*mmater*Parámetros!$G100*$X$5+AB112*(1+i_noc)</f>
        <v>0</v>
      </c>
      <c r="AC113" s="53">
        <f>E113*12*Parámetros!$F100*$X$5+AC112*(1+i_noc)</f>
        <v>2241696.1441252795</v>
      </c>
      <c r="AD113" s="53"/>
      <c r="AE113" s="53"/>
      <c r="AF113" s="175"/>
      <c r="AG113" s="74">
        <f t="shared" si="89"/>
        <v>0</v>
      </c>
      <c r="AH113" s="52">
        <f t="shared" si="90"/>
        <v>0</v>
      </c>
      <c r="AI113" s="56">
        <f t="shared" si="71"/>
        <v>0</v>
      </c>
      <c r="AJ113" s="56">
        <f t="shared" si="72"/>
        <v>0</v>
      </c>
      <c r="AK113" s="56"/>
      <c r="AL113" s="56"/>
      <c r="AM113" s="56"/>
      <c r="AN113" s="56"/>
      <c r="AO113" s="56">
        <f t="shared" si="73"/>
        <v>0</v>
      </c>
      <c r="AP113" s="56">
        <f t="shared" si="74"/>
        <v>0</v>
      </c>
      <c r="AQ113" s="53">
        <f t="shared" si="75"/>
        <v>0</v>
      </c>
      <c r="AR113" s="53">
        <f t="shared" si="76"/>
        <v>0</v>
      </c>
      <c r="AS113" s="39"/>
      <c r="AT113" s="68">
        <f t="shared" si="77"/>
        <v>0</v>
      </c>
      <c r="AU113" s="68">
        <f t="shared" si="78"/>
        <v>0</v>
      </c>
      <c r="AV113" s="68">
        <f t="shared" si="79"/>
        <v>0</v>
      </c>
      <c r="AW113" s="68">
        <f t="shared" si="91"/>
        <v>0</v>
      </c>
      <c r="AX113" s="39"/>
      <c r="AY113" s="39"/>
    </row>
    <row r="114" spans="1:51" x14ac:dyDescent="0.25">
      <c r="A114" s="30">
        <v>2079</v>
      </c>
      <c r="B114" s="33">
        <f>w_uf*UF*Parámetros!C101</f>
        <v>1703041.3978880353</v>
      </c>
      <c r="C114" s="30">
        <f t="shared" si="86"/>
        <v>100</v>
      </c>
      <c r="D114" s="30">
        <f>((A114=Inputs!$C$12)*(Inputs!$D$12) + (A114=Inputs!$C$13)*(Inputs!$D$13) + (A114=Inputs!$C$14)*(Inputs!$D$14)) *(A114 &gt;= a_afil)*(A114&gt;=2024)</f>
        <v>0</v>
      </c>
      <c r="E114" s="30">
        <f>MIN(1,(A114=Inputs!$C$19)*Inputs!$D$19+(A114=Inputs!$C$20)*Inputs!$D$20+(A114=Inputs!$C$21)*Inputs!$D$21*(A114 &gt;= a_afil))</f>
        <v>0</v>
      </c>
      <c r="F114" s="30">
        <f t="shared" si="87"/>
        <v>0</v>
      </c>
      <c r="G114" s="30">
        <f t="shared" si="88"/>
        <v>0</v>
      </c>
      <c r="H114" s="30">
        <v>0.38950186967849731</v>
      </c>
      <c r="I114" s="37">
        <f t="shared" si="69"/>
        <v>0</v>
      </c>
      <c r="J114" s="37">
        <f t="shared" si="70"/>
        <v>0</v>
      </c>
      <c r="K114" s="30">
        <f>1*OR(Inputs!$D$17=$A114,Inputs!$E$17=$A114)*($E114=0)*(F114=1)</f>
        <v>0</v>
      </c>
      <c r="L114" s="30">
        <f>1*OR(Inputs!$D$17=$A114,Inputs!$E$17=$A114)*($E114=0)*(G114=1)</f>
        <v>0</v>
      </c>
      <c r="M114" s="73">
        <f t="shared" si="59"/>
        <v>0</v>
      </c>
      <c r="N114" s="73">
        <f t="shared" si="60"/>
        <v>0</v>
      </c>
      <c r="O114" s="55">
        <f>Parámetros!$E101*12*I114*$P$14</f>
        <v>0</v>
      </c>
      <c r="P114" s="55">
        <f>Parámetros!$E101*12*J114*$P$14</f>
        <v>0</v>
      </c>
      <c r="Q114" s="70">
        <f t="shared" si="39"/>
        <v>0</v>
      </c>
      <c r="R114" s="70">
        <f t="shared" si="40"/>
        <v>0</v>
      </c>
      <c r="S114" s="68">
        <f t="shared" si="84"/>
        <v>0</v>
      </c>
      <c r="T114" s="68">
        <f t="shared" si="85"/>
        <v>0</v>
      </c>
      <c r="U114" s="177"/>
      <c r="V114" s="68">
        <f t="shared" si="80"/>
        <v>0</v>
      </c>
      <c r="W114" s="68">
        <f t="shared" si="81"/>
        <v>0</v>
      </c>
      <c r="X114" s="54">
        <f t="shared" si="92"/>
        <v>0</v>
      </c>
      <c r="Y114" s="54">
        <f t="shared" si="93"/>
        <v>0</v>
      </c>
      <c r="Z114" s="55">
        <f t="shared" si="82"/>
        <v>0</v>
      </c>
      <c r="AA114" s="55">
        <f t="shared" si="83"/>
        <v>0</v>
      </c>
      <c r="AB114" s="53">
        <f>D114*mmater*Parámetros!$G101*$X$5+AB113*(1+i_noc)</f>
        <v>0</v>
      </c>
      <c r="AC114" s="53">
        <f>E114*12*Parámetros!$F101*$X$5+AC113*(1+i_noc)</f>
        <v>2286530.0670077852</v>
      </c>
      <c r="AD114" s="53"/>
      <c r="AE114" s="53"/>
      <c r="AF114" s="175"/>
      <c r="AG114" s="74">
        <f t="shared" si="89"/>
        <v>0</v>
      </c>
      <c r="AH114" s="52">
        <f t="shared" si="90"/>
        <v>0</v>
      </c>
      <c r="AI114" s="56">
        <f t="shared" si="71"/>
        <v>0</v>
      </c>
      <c r="AJ114" s="56">
        <f t="shared" si="72"/>
        <v>0</v>
      </c>
      <c r="AK114" s="56"/>
      <c r="AL114" s="56"/>
      <c r="AM114" s="56"/>
      <c r="AN114" s="56"/>
      <c r="AO114" s="56">
        <f t="shared" si="73"/>
        <v>0</v>
      </c>
      <c r="AP114" s="56">
        <f t="shared" si="74"/>
        <v>0</v>
      </c>
      <c r="AQ114" s="53">
        <f t="shared" si="75"/>
        <v>0</v>
      </c>
      <c r="AR114" s="53">
        <f t="shared" si="76"/>
        <v>0</v>
      </c>
      <c r="AS114" s="39"/>
      <c r="AT114" s="68">
        <f t="shared" si="77"/>
        <v>0</v>
      </c>
      <c r="AU114" s="68">
        <f t="shared" si="78"/>
        <v>0</v>
      </c>
      <c r="AV114" s="68">
        <f t="shared" si="79"/>
        <v>0</v>
      </c>
      <c r="AW114" s="68">
        <f t="shared" si="91"/>
        <v>0</v>
      </c>
      <c r="AX114" s="39"/>
      <c r="AY114" s="39"/>
    </row>
    <row r="115" spans="1:51" x14ac:dyDescent="0.25">
      <c r="A115" s="30">
        <v>2080</v>
      </c>
      <c r="B115" s="33">
        <f>w_uf*UF*Parámetros!C102</f>
        <v>1724329.4153616359</v>
      </c>
      <c r="C115" s="30">
        <f t="shared" si="86"/>
        <v>101</v>
      </c>
      <c r="D115" s="30">
        <f>((A115=Inputs!$C$12)*(Inputs!$D$12) + (A115=Inputs!$C$13)*(Inputs!$D$13) + (A115=Inputs!$C$14)*(Inputs!$D$14)) *(A115 &gt;= a_afil)*(A115&gt;=2024)</f>
        <v>0</v>
      </c>
      <c r="E115" s="30">
        <f>MIN(1,(A115=Inputs!$C$19)*Inputs!$D$19+(A115=Inputs!$C$20)*Inputs!$D$20+(A115=Inputs!$C$21)*Inputs!$D$21*(A115 &gt;= a_afil))</f>
        <v>0</v>
      </c>
      <c r="F115" s="30">
        <f t="shared" si="87"/>
        <v>0</v>
      </c>
      <c r="G115" s="30">
        <f t="shared" si="88"/>
        <v>0</v>
      </c>
      <c r="H115" s="30">
        <v>0.86058926582336426</v>
      </c>
      <c r="I115" s="37">
        <f t="shared" si="69"/>
        <v>0</v>
      </c>
      <c r="J115" s="37">
        <f t="shared" si="70"/>
        <v>0</v>
      </c>
      <c r="K115" s="30">
        <f>1*OR(Inputs!$D$17=$A115,Inputs!$E$17=$A115)*($E115=0)*(F115=1)</f>
        <v>0</v>
      </c>
      <c r="L115" s="30">
        <f>1*OR(Inputs!$D$17=$A115,Inputs!$E$17=$A115)*($E115=0)*(G115=1)</f>
        <v>0</v>
      </c>
      <c r="M115" s="73">
        <f t="shared" si="59"/>
        <v>0</v>
      </c>
      <c r="N115" s="73">
        <f t="shared" si="60"/>
        <v>0</v>
      </c>
      <c r="O115" s="55">
        <f>Parámetros!$E102*12*I115*$P$14</f>
        <v>0</v>
      </c>
      <c r="P115" s="55">
        <f>Parámetros!$E102*12*J115*$P$14</f>
        <v>0</v>
      </c>
      <c r="Q115" s="70">
        <f t="shared" si="39"/>
        <v>0</v>
      </c>
      <c r="R115" s="70">
        <f t="shared" si="40"/>
        <v>0</v>
      </c>
      <c r="S115" s="68">
        <f t="shared" si="84"/>
        <v>0</v>
      </c>
      <c r="T115" s="68">
        <f t="shared" si="85"/>
        <v>0</v>
      </c>
      <c r="U115" s="177"/>
      <c r="V115" s="68">
        <f t="shared" si="80"/>
        <v>0</v>
      </c>
      <c r="W115" s="68">
        <f t="shared" si="81"/>
        <v>0</v>
      </c>
      <c r="X115" s="54">
        <f t="shared" si="92"/>
        <v>0</v>
      </c>
      <c r="Y115" s="54">
        <f t="shared" si="93"/>
        <v>0</v>
      </c>
      <c r="Z115" s="55">
        <f t="shared" si="82"/>
        <v>0</v>
      </c>
      <c r="AA115" s="55">
        <f t="shared" si="83"/>
        <v>0</v>
      </c>
      <c r="AB115" s="53">
        <f>D115*mmater*Parámetros!$G102*$X$5+AB114*(1+i_noc)</f>
        <v>0</v>
      </c>
      <c r="AC115" s="53">
        <f>E115*12*Parámetros!$F102*$X$5+AC114*(1+i_noc)</f>
        <v>2332260.6683479408</v>
      </c>
      <c r="AD115" s="53"/>
      <c r="AE115" s="53"/>
      <c r="AF115" s="175"/>
      <c r="AG115" s="74">
        <f t="shared" si="89"/>
        <v>0</v>
      </c>
      <c r="AH115" s="52">
        <f t="shared" si="90"/>
        <v>0</v>
      </c>
      <c r="AI115" s="56">
        <f t="shared" si="71"/>
        <v>0</v>
      </c>
      <c r="AJ115" s="56">
        <f t="shared" si="72"/>
        <v>0</v>
      </c>
      <c r="AK115" s="56"/>
      <c r="AL115" s="56"/>
      <c r="AM115" s="56"/>
      <c r="AN115" s="56"/>
      <c r="AO115" s="56">
        <f t="shared" si="73"/>
        <v>0</v>
      </c>
      <c r="AP115" s="56">
        <f t="shared" si="74"/>
        <v>0</v>
      </c>
      <c r="AQ115" s="53">
        <f t="shared" si="75"/>
        <v>0</v>
      </c>
      <c r="AR115" s="53">
        <f t="shared" si="76"/>
        <v>0</v>
      </c>
      <c r="AS115" s="39"/>
      <c r="AT115" s="68">
        <f t="shared" si="77"/>
        <v>0</v>
      </c>
      <c r="AU115" s="68">
        <f t="shared" si="78"/>
        <v>0</v>
      </c>
      <c r="AV115" s="68">
        <f t="shared" si="79"/>
        <v>0</v>
      </c>
      <c r="AW115" s="68">
        <f t="shared" si="91"/>
        <v>0</v>
      </c>
      <c r="AX115" s="39"/>
      <c r="AY115" s="39"/>
    </row>
    <row r="116" spans="1:51" x14ac:dyDescent="0.25">
      <c r="A116" s="30">
        <v>2081</v>
      </c>
      <c r="B116" s="33">
        <f>w_uf*UF*Parámetros!C103</f>
        <v>1745883.5330536563</v>
      </c>
      <c r="C116" s="30">
        <f t="shared" si="86"/>
        <v>102</v>
      </c>
      <c r="D116" s="30">
        <f>((A116=Inputs!$C$12)*(Inputs!$D$12) + (A116=Inputs!$C$13)*(Inputs!$D$13) + (A116=Inputs!$C$14)*(Inputs!$D$14)) *(A116 &gt;= a_afil)*(A116&gt;=2024)</f>
        <v>0</v>
      </c>
      <c r="E116" s="30">
        <f>MIN(1,(A116=Inputs!$C$19)*Inputs!$D$19+(A116=Inputs!$C$20)*Inputs!$D$20+(A116=Inputs!$C$21)*Inputs!$D$21*(A116 &gt;= a_afil))</f>
        <v>0</v>
      </c>
      <c r="F116" s="30">
        <f t="shared" si="87"/>
        <v>0</v>
      </c>
      <c r="G116" s="30">
        <f t="shared" si="88"/>
        <v>0</v>
      </c>
      <c r="H116" s="30">
        <v>0.58593791723251343</v>
      </c>
      <c r="I116" s="37">
        <f t="shared" si="69"/>
        <v>0</v>
      </c>
      <c r="J116" s="37">
        <f t="shared" si="70"/>
        <v>0</v>
      </c>
      <c r="K116" s="30">
        <f>1*OR(Inputs!$D$17=$A116,Inputs!$E$17=$A116)*($E116=0)*(F116=1)</f>
        <v>0</v>
      </c>
      <c r="L116" s="30">
        <f>1*OR(Inputs!$D$17=$A116,Inputs!$E$17=$A116)*($E116=0)*(G116=1)</f>
        <v>0</v>
      </c>
      <c r="M116" s="73">
        <f t="shared" si="59"/>
        <v>0</v>
      </c>
      <c r="N116" s="73">
        <f t="shared" si="60"/>
        <v>0</v>
      </c>
      <c r="O116" s="55">
        <f>Parámetros!$E103*12*I116*$P$14</f>
        <v>0</v>
      </c>
      <c r="P116" s="55">
        <f>Parámetros!$E103*12*J116*$P$14</f>
        <v>0</v>
      </c>
      <c r="Q116" s="70">
        <f t="shared" si="39"/>
        <v>0</v>
      </c>
      <c r="R116" s="70">
        <f t="shared" si="40"/>
        <v>0</v>
      </c>
      <c r="S116" s="68">
        <f t="shared" si="84"/>
        <v>0</v>
      </c>
      <c r="T116" s="68">
        <f t="shared" si="85"/>
        <v>0</v>
      </c>
      <c r="U116" s="177"/>
      <c r="V116" s="68">
        <f t="shared" si="80"/>
        <v>0</v>
      </c>
      <c r="W116" s="68">
        <f t="shared" si="81"/>
        <v>0</v>
      </c>
      <c r="X116" s="54">
        <f t="shared" si="92"/>
        <v>0</v>
      </c>
      <c r="Y116" s="54">
        <f t="shared" si="93"/>
        <v>0</v>
      </c>
      <c r="Z116" s="55">
        <f t="shared" si="82"/>
        <v>0</v>
      </c>
      <c r="AA116" s="55">
        <f t="shared" si="83"/>
        <v>0</v>
      </c>
      <c r="AB116" s="53">
        <f>D116*mmater*Parámetros!$G103*$X$5+AB115*(1+i_noc)</f>
        <v>0</v>
      </c>
      <c r="AC116" s="53">
        <f>E116*12*Parámetros!$F103*$X$5+AC115*(1+i_noc)</f>
        <v>2378905.8817148996</v>
      </c>
      <c r="AD116" s="53"/>
      <c r="AE116" s="53"/>
      <c r="AF116" s="175"/>
      <c r="AG116" s="74">
        <f t="shared" si="89"/>
        <v>0</v>
      </c>
      <c r="AH116" s="52">
        <f t="shared" si="90"/>
        <v>0</v>
      </c>
      <c r="AI116" s="56">
        <f t="shared" si="71"/>
        <v>0</v>
      </c>
      <c r="AJ116" s="56">
        <f t="shared" si="72"/>
        <v>0</v>
      </c>
      <c r="AK116" s="56"/>
      <c r="AL116" s="56"/>
      <c r="AM116" s="56"/>
      <c r="AN116" s="56"/>
      <c r="AO116" s="56">
        <f t="shared" si="73"/>
        <v>0</v>
      </c>
      <c r="AP116" s="56">
        <f t="shared" si="74"/>
        <v>0</v>
      </c>
      <c r="AQ116" s="53">
        <f t="shared" si="75"/>
        <v>0</v>
      </c>
      <c r="AR116" s="53">
        <f t="shared" si="76"/>
        <v>0</v>
      </c>
      <c r="AS116" s="39"/>
      <c r="AT116" s="68">
        <f t="shared" si="77"/>
        <v>0</v>
      </c>
      <c r="AU116" s="68">
        <f t="shared" si="78"/>
        <v>0</v>
      </c>
      <c r="AV116" s="68">
        <f t="shared" si="79"/>
        <v>0</v>
      </c>
      <c r="AW116" s="68">
        <f t="shared" si="91"/>
        <v>0</v>
      </c>
      <c r="AX116" s="39"/>
      <c r="AY116" s="39"/>
    </row>
    <row r="117" spans="1:51" x14ac:dyDescent="0.25">
      <c r="A117" s="30">
        <v>2082</v>
      </c>
      <c r="B117" s="33">
        <f>w_uf*UF*Parámetros!C104</f>
        <v>1767707.0772168266</v>
      </c>
      <c r="C117" s="30">
        <f t="shared" si="86"/>
        <v>103</v>
      </c>
      <c r="D117" s="30">
        <f>((A117=Inputs!$C$12)*(Inputs!$D$12) + (A117=Inputs!$C$13)*(Inputs!$D$13) + (A117=Inputs!$C$14)*(Inputs!$D$14)) *(A117 &gt;= a_afil)*(A117&gt;=2024)</f>
        <v>0</v>
      </c>
      <c r="E117" s="30">
        <f>MIN(1,(A117=Inputs!$C$19)*Inputs!$D$19+(A117=Inputs!$C$20)*Inputs!$D$20+(A117=Inputs!$C$21)*Inputs!$D$21*(A117 &gt;= a_afil))</f>
        <v>0</v>
      </c>
      <c r="F117" s="30">
        <f t="shared" si="87"/>
        <v>0</v>
      </c>
      <c r="G117" s="30">
        <f t="shared" si="88"/>
        <v>0</v>
      </c>
      <c r="H117" s="30">
        <v>0.93155944347381592</v>
      </c>
      <c r="I117" s="37">
        <f t="shared" si="69"/>
        <v>0</v>
      </c>
      <c r="J117" s="37">
        <f t="shared" si="70"/>
        <v>0</v>
      </c>
      <c r="K117" s="30">
        <f>1*OR(Inputs!$D$17=$A117,Inputs!$E$17=$A117)*($E117=0)*(F117=1)</f>
        <v>0</v>
      </c>
      <c r="L117" s="30">
        <f>1*OR(Inputs!$D$17=$A117,Inputs!$E$17=$A117)*($E117=0)*(G117=1)</f>
        <v>0</v>
      </c>
      <c r="M117" s="73">
        <f t="shared" si="59"/>
        <v>0</v>
      </c>
      <c r="N117" s="73">
        <f t="shared" si="60"/>
        <v>0</v>
      </c>
      <c r="O117" s="55">
        <f>Parámetros!$E104*12*I117*$P$14</f>
        <v>0</v>
      </c>
      <c r="P117" s="55">
        <f>Parámetros!$E104*12*J117*$P$14</f>
        <v>0</v>
      </c>
      <c r="Q117" s="70">
        <f t="shared" si="39"/>
        <v>0</v>
      </c>
      <c r="R117" s="70">
        <f t="shared" si="40"/>
        <v>0</v>
      </c>
      <c r="S117" s="68">
        <f t="shared" si="84"/>
        <v>0</v>
      </c>
      <c r="T117" s="68">
        <f t="shared" si="85"/>
        <v>0</v>
      </c>
      <c r="U117" s="177"/>
      <c r="V117" s="68">
        <f t="shared" si="80"/>
        <v>0</v>
      </c>
      <c r="W117" s="68">
        <f t="shared" si="81"/>
        <v>0</v>
      </c>
      <c r="X117" s="54">
        <f t="shared" si="92"/>
        <v>0</v>
      </c>
      <c r="Y117" s="54">
        <f t="shared" si="93"/>
        <v>0</v>
      </c>
      <c r="Z117" s="55">
        <f t="shared" si="82"/>
        <v>0</v>
      </c>
      <c r="AA117" s="55">
        <f t="shared" si="83"/>
        <v>0</v>
      </c>
      <c r="AB117" s="53">
        <f>D117*mmater*Parámetros!$G104*$X$5+AB116*(1+i_noc)</f>
        <v>0</v>
      </c>
      <c r="AC117" s="53">
        <f>E117*12*Parámetros!$F104*$X$5+AC116*(1+i_noc)</f>
        <v>2426483.9993491974</v>
      </c>
      <c r="AD117" s="53"/>
      <c r="AE117" s="53"/>
      <c r="AF117" s="175"/>
      <c r="AG117" s="74">
        <f t="shared" si="89"/>
        <v>0</v>
      </c>
      <c r="AH117" s="52">
        <f t="shared" si="90"/>
        <v>0</v>
      </c>
      <c r="AI117" s="56">
        <f t="shared" si="71"/>
        <v>0</v>
      </c>
      <c r="AJ117" s="56">
        <f t="shared" si="72"/>
        <v>0</v>
      </c>
      <c r="AK117" s="56"/>
      <c r="AL117" s="56"/>
      <c r="AM117" s="56"/>
      <c r="AN117" s="56"/>
      <c r="AO117" s="56">
        <f t="shared" si="73"/>
        <v>0</v>
      </c>
      <c r="AP117" s="56">
        <f t="shared" si="74"/>
        <v>0</v>
      </c>
      <c r="AQ117" s="53">
        <f t="shared" si="75"/>
        <v>0</v>
      </c>
      <c r="AR117" s="53">
        <f t="shared" si="76"/>
        <v>0</v>
      </c>
      <c r="AS117" s="39"/>
      <c r="AT117" s="68">
        <f t="shared" si="77"/>
        <v>0</v>
      </c>
      <c r="AU117" s="68">
        <f t="shared" si="78"/>
        <v>0</v>
      </c>
      <c r="AV117" s="68">
        <f t="shared" si="79"/>
        <v>0</v>
      </c>
      <c r="AW117" s="68">
        <f t="shared" si="91"/>
        <v>0</v>
      </c>
      <c r="AX117" s="39"/>
      <c r="AY117" s="39"/>
    </row>
    <row r="118" spans="1:51" x14ac:dyDescent="0.25">
      <c r="A118" s="30">
        <v>2083</v>
      </c>
      <c r="B118" s="33">
        <f>w_uf*UF*Parámetros!C105</f>
        <v>1789803.4156820369</v>
      </c>
      <c r="C118" s="30">
        <f t="shared" si="86"/>
        <v>104</v>
      </c>
      <c r="D118" s="30">
        <f>((A118=Inputs!$C$12)*(Inputs!$D$12) + (A118=Inputs!$C$13)*(Inputs!$D$13) + (A118=Inputs!$C$14)*(Inputs!$D$14)) *(A118 &gt;= a_afil)*(A118&gt;=2024)</f>
        <v>0</v>
      </c>
      <c r="E118" s="30">
        <f>MIN(1,(A118=Inputs!$C$19)*Inputs!$D$19+(A118=Inputs!$C$20)*Inputs!$D$20+(A118=Inputs!$C$21)*Inputs!$D$21*(A118 &gt;= a_afil))</f>
        <v>0</v>
      </c>
      <c r="F118" s="30">
        <f t="shared" si="87"/>
        <v>0</v>
      </c>
      <c r="G118" s="30">
        <f t="shared" si="88"/>
        <v>0</v>
      </c>
      <c r="H118" s="30">
        <v>0.51719242334365845</v>
      </c>
      <c r="I118" s="37">
        <f t="shared" si="69"/>
        <v>0</v>
      </c>
      <c r="J118" s="37">
        <f t="shared" si="70"/>
        <v>0</v>
      </c>
      <c r="K118" s="30">
        <f>1*OR(Inputs!$D$17=$A118,Inputs!$E$17=$A118)*($E118=0)*(F118=1)</f>
        <v>0</v>
      </c>
      <c r="L118" s="30">
        <f>1*OR(Inputs!$D$17=$A118,Inputs!$E$17=$A118)*($E118=0)*(G118=1)</f>
        <v>0</v>
      </c>
      <c r="M118" s="73">
        <f t="shared" si="59"/>
        <v>0</v>
      </c>
      <c r="N118" s="73">
        <f t="shared" si="60"/>
        <v>0</v>
      </c>
      <c r="O118" s="55">
        <f>Parámetros!$E105*12*I118*$P$14</f>
        <v>0</v>
      </c>
      <c r="P118" s="55">
        <f>Parámetros!$E105*12*J118*$P$14</f>
        <v>0</v>
      </c>
      <c r="Q118" s="70">
        <f t="shared" si="39"/>
        <v>0</v>
      </c>
      <c r="R118" s="70">
        <f t="shared" si="40"/>
        <v>0</v>
      </c>
      <c r="S118" s="68">
        <f t="shared" si="84"/>
        <v>0</v>
      </c>
      <c r="T118" s="68">
        <f t="shared" si="85"/>
        <v>0</v>
      </c>
      <c r="U118" s="177"/>
      <c r="V118" s="68">
        <f t="shared" si="80"/>
        <v>0</v>
      </c>
      <c r="W118" s="68">
        <f t="shared" si="81"/>
        <v>0</v>
      </c>
      <c r="X118" s="54">
        <f t="shared" si="92"/>
        <v>0</v>
      </c>
      <c r="Y118" s="54">
        <f t="shared" si="93"/>
        <v>0</v>
      </c>
      <c r="Z118" s="55">
        <f t="shared" si="82"/>
        <v>0</v>
      </c>
      <c r="AA118" s="55">
        <f t="shared" si="83"/>
        <v>0</v>
      </c>
      <c r="AB118" s="53">
        <f>D118*mmater*Parámetros!$G105*$X$5+AB117*(1+i_noc)</f>
        <v>0</v>
      </c>
      <c r="AC118" s="53">
        <f>E118*12*Parámetros!$F105*$X$5+AC117*(1+i_noc)</f>
        <v>2475013.6793361814</v>
      </c>
      <c r="AD118" s="53"/>
      <c r="AE118" s="53"/>
      <c r="AF118" s="175"/>
      <c r="AG118" s="74">
        <f t="shared" si="89"/>
        <v>0</v>
      </c>
      <c r="AH118" s="52">
        <f t="shared" si="90"/>
        <v>0</v>
      </c>
      <c r="AI118" s="56">
        <f t="shared" si="71"/>
        <v>0</v>
      </c>
      <c r="AJ118" s="56">
        <f t="shared" si="72"/>
        <v>0</v>
      </c>
      <c r="AK118" s="56"/>
      <c r="AL118" s="56"/>
      <c r="AM118" s="56"/>
      <c r="AN118" s="56"/>
      <c r="AO118" s="56">
        <f t="shared" si="73"/>
        <v>0</v>
      </c>
      <c r="AP118" s="56">
        <f t="shared" si="74"/>
        <v>0</v>
      </c>
      <c r="AQ118" s="53">
        <f t="shared" si="75"/>
        <v>0</v>
      </c>
      <c r="AR118" s="53">
        <f t="shared" si="76"/>
        <v>0</v>
      </c>
      <c r="AS118" s="39"/>
      <c r="AT118" s="68">
        <f t="shared" si="77"/>
        <v>0</v>
      </c>
      <c r="AU118" s="68">
        <f t="shared" si="78"/>
        <v>0</v>
      </c>
      <c r="AV118" s="68">
        <f t="shared" si="79"/>
        <v>0</v>
      </c>
      <c r="AW118" s="68">
        <f t="shared" si="91"/>
        <v>0</v>
      </c>
      <c r="AX118" s="39"/>
      <c r="AY118" s="39"/>
    </row>
    <row r="119" spans="1:51" x14ac:dyDescent="0.25">
      <c r="A119" s="30">
        <v>2084</v>
      </c>
      <c r="B119" s="33">
        <f>w_uf*UF*Parámetros!C106</f>
        <v>1812175.9583780621</v>
      </c>
      <c r="C119" s="30">
        <f t="shared" si="86"/>
        <v>105</v>
      </c>
      <c r="D119" s="30">
        <f>((A119=Inputs!$C$12)*(Inputs!$D$12) + (A119=Inputs!$C$13)*(Inputs!$D$13) + (A119=Inputs!$C$14)*(Inputs!$D$14)) *(A119 &gt;= a_afil)*(A119&gt;=2024)</f>
        <v>0</v>
      </c>
      <c r="E119" s="30">
        <f>MIN(1,(A119=Inputs!$C$19)*Inputs!$D$19+(A119=Inputs!$C$20)*Inputs!$D$20+(A119=Inputs!$C$21)*Inputs!$D$21*(A119 &gt;= a_afil))</f>
        <v>0</v>
      </c>
      <c r="F119" s="30">
        <f t="shared" si="87"/>
        <v>0</v>
      </c>
      <c r="G119" s="30">
        <f t="shared" si="88"/>
        <v>0</v>
      </c>
      <c r="H119" s="30">
        <v>0.33030080795288086</v>
      </c>
      <c r="I119" s="37">
        <f t="shared" si="69"/>
        <v>0</v>
      </c>
      <c r="J119" s="37">
        <f t="shared" si="70"/>
        <v>0</v>
      </c>
      <c r="K119" s="30">
        <f>1*OR(Inputs!$D$17=$A119,Inputs!$E$17=$A119)*($E119=0)*(F119=1)</f>
        <v>0</v>
      </c>
      <c r="L119" s="30">
        <f>1*OR(Inputs!$D$17=$A119,Inputs!$E$17=$A119)*($E119=0)*(G119=1)</f>
        <v>0</v>
      </c>
      <c r="M119" s="73">
        <f t="shared" si="59"/>
        <v>0</v>
      </c>
      <c r="N119" s="73">
        <f t="shared" si="60"/>
        <v>0</v>
      </c>
      <c r="O119" s="55">
        <f>Parámetros!$E106*12*I119*$P$14</f>
        <v>0</v>
      </c>
      <c r="P119" s="55">
        <f>Parámetros!$E106*12*J119*$P$14</f>
        <v>0</v>
      </c>
      <c r="Q119" s="70">
        <f t="shared" si="39"/>
        <v>0</v>
      </c>
      <c r="R119" s="70">
        <f t="shared" si="40"/>
        <v>0</v>
      </c>
      <c r="S119" s="68">
        <f t="shared" si="84"/>
        <v>0</v>
      </c>
      <c r="T119" s="68">
        <f t="shared" si="85"/>
        <v>0</v>
      </c>
      <c r="U119" s="177"/>
      <c r="V119" s="68">
        <f t="shared" si="80"/>
        <v>0</v>
      </c>
      <c r="W119" s="68">
        <f t="shared" si="81"/>
        <v>0</v>
      </c>
      <c r="X119" s="54">
        <f t="shared" si="92"/>
        <v>0</v>
      </c>
      <c r="Y119" s="54">
        <f t="shared" si="93"/>
        <v>0</v>
      </c>
      <c r="Z119" s="55">
        <f t="shared" si="82"/>
        <v>0</v>
      </c>
      <c r="AA119" s="55">
        <f t="shared" si="83"/>
        <v>0</v>
      </c>
      <c r="AB119" s="53">
        <f>D119*mmater*Parámetros!$G106*$X$5+AB118*(1+i_noc)</f>
        <v>0</v>
      </c>
      <c r="AC119" s="53">
        <f>E119*12*Parámetros!$F106*$X$5+AC118*(1+i_noc)</f>
        <v>2524513.9529229049</v>
      </c>
      <c r="AD119" s="53"/>
      <c r="AE119" s="53"/>
      <c r="AF119" s="175"/>
      <c r="AG119" s="74">
        <f t="shared" si="89"/>
        <v>0</v>
      </c>
      <c r="AH119" s="52">
        <f t="shared" si="90"/>
        <v>0</v>
      </c>
      <c r="AI119" s="56">
        <f t="shared" si="71"/>
        <v>0</v>
      </c>
      <c r="AJ119" s="56">
        <f t="shared" si="72"/>
        <v>0</v>
      </c>
      <c r="AK119" s="56"/>
      <c r="AL119" s="56"/>
      <c r="AM119" s="56"/>
      <c r="AN119" s="56"/>
      <c r="AO119" s="56">
        <f t="shared" si="73"/>
        <v>0</v>
      </c>
      <c r="AP119" s="56">
        <f t="shared" si="74"/>
        <v>0</v>
      </c>
      <c r="AQ119" s="53">
        <f t="shared" si="75"/>
        <v>0</v>
      </c>
      <c r="AR119" s="53">
        <f t="shared" si="76"/>
        <v>0</v>
      </c>
      <c r="AS119" s="39"/>
      <c r="AT119" s="68">
        <f t="shared" si="77"/>
        <v>0</v>
      </c>
      <c r="AU119" s="68">
        <f t="shared" si="78"/>
        <v>0</v>
      </c>
      <c r="AV119" s="68">
        <f t="shared" si="79"/>
        <v>0</v>
      </c>
      <c r="AW119" s="68">
        <f t="shared" si="91"/>
        <v>0</v>
      </c>
      <c r="AX119" s="39"/>
      <c r="AY119" s="39"/>
    </row>
    <row r="120" spans="1:51" x14ac:dyDescent="0.25">
      <c r="A120" s="30">
        <v>2085</v>
      </c>
      <c r="B120" s="33">
        <f>w_uf*UF*Parámetros!C107</f>
        <v>1834828.157857788</v>
      </c>
      <c r="C120" s="30">
        <f t="shared" si="86"/>
        <v>106</v>
      </c>
      <c r="D120" s="30">
        <f>((A120=Inputs!$C$12)*(Inputs!$D$12) + (A120=Inputs!$C$13)*(Inputs!$D$13) + (A120=Inputs!$C$14)*(Inputs!$D$14)) *(A120 &gt;= a_afil)*(A120&gt;=2024)</f>
        <v>0</v>
      </c>
      <c r="E120" s="30">
        <f>MIN(1,(A120=Inputs!$C$19)*Inputs!$D$19+(A120=Inputs!$C$20)*Inputs!$D$20+(A120=Inputs!$C$21)*Inputs!$D$21*(A120 &gt;= a_afil))</f>
        <v>0</v>
      </c>
      <c r="F120" s="30">
        <f t="shared" si="87"/>
        <v>0</v>
      </c>
      <c r="G120" s="30">
        <f t="shared" si="88"/>
        <v>0</v>
      </c>
      <c r="H120" s="30">
        <v>0.86845368146896362</v>
      </c>
      <c r="I120" s="37">
        <f t="shared" si="69"/>
        <v>0</v>
      </c>
      <c r="J120" s="37">
        <f t="shared" si="70"/>
        <v>0</v>
      </c>
      <c r="K120" s="30">
        <f>1*OR(Inputs!$D$17=$A120,Inputs!$E$17=$A120)*($E120=0)*(F120=1)</f>
        <v>0</v>
      </c>
      <c r="L120" s="30">
        <f>1*OR(Inputs!$D$17=$A120,Inputs!$E$17=$A120)*($E120=0)*(G120=1)</f>
        <v>0</v>
      </c>
      <c r="M120" s="73">
        <f t="shared" si="59"/>
        <v>0</v>
      </c>
      <c r="N120" s="73">
        <f t="shared" si="60"/>
        <v>0</v>
      </c>
      <c r="O120" s="55">
        <f>Parámetros!$E107*12*I120*$P$14</f>
        <v>0</v>
      </c>
      <c r="P120" s="55">
        <f>Parámetros!$E107*12*J120*$P$14</f>
        <v>0</v>
      </c>
      <c r="Q120" s="70">
        <f t="shared" si="39"/>
        <v>0</v>
      </c>
      <c r="R120" s="70">
        <f t="shared" si="40"/>
        <v>0</v>
      </c>
      <c r="S120" s="68">
        <f t="shared" si="84"/>
        <v>0</v>
      </c>
      <c r="T120" s="68">
        <f t="shared" si="85"/>
        <v>0</v>
      </c>
      <c r="U120" s="177"/>
      <c r="V120" s="68">
        <f t="shared" si="80"/>
        <v>0</v>
      </c>
      <c r="W120" s="68">
        <f t="shared" si="81"/>
        <v>0</v>
      </c>
      <c r="X120" s="54">
        <f t="shared" si="92"/>
        <v>0</v>
      </c>
      <c r="Y120" s="54">
        <f t="shared" si="93"/>
        <v>0</v>
      </c>
      <c r="Z120" s="55">
        <f t="shared" si="82"/>
        <v>0</v>
      </c>
      <c r="AA120" s="55">
        <f t="shared" si="83"/>
        <v>0</v>
      </c>
      <c r="AB120" s="53">
        <f>D120*mmater*Parámetros!$G107*$X$5+AB119*(1+i_noc)</f>
        <v>0</v>
      </c>
      <c r="AC120" s="53">
        <f>E120*12*Parámetros!$F107*$X$5+AC119*(1+i_noc)</f>
        <v>2575004.2319813631</v>
      </c>
      <c r="AD120" s="53"/>
      <c r="AE120" s="53"/>
      <c r="AF120" s="175"/>
      <c r="AG120" s="74">
        <f t="shared" si="89"/>
        <v>0</v>
      </c>
      <c r="AH120" s="52">
        <f t="shared" si="90"/>
        <v>0</v>
      </c>
      <c r="AI120" s="56">
        <f t="shared" si="71"/>
        <v>0</v>
      </c>
      <c r="AJ120" s="56">
        <f t="shared" si="72"/>
        <v>0</v>
      </c>
      <c r="AK120" s="56"/>
      <c r="AL120" s="56"/>
      <c r="AM120" s="56"/>
      <c r="AN120" s="56"/>
      <c r="AO120" s="56">
        <f t="shared" si="73"/>
        <v>0</v>
      </c>
      <c r="AP120" s="56">
        <f t="shared" si="74"/>
        <v>0</v>
      </c>
      <c r="AQ120" s="53">
        <f t="shared" si="75"/>
        <v>0</v>
      </c>
      <c r="AR120" s="53">
        <f t="shared" si="76"/>
        <v>0</v>
      </c>
      <c r="AS120" s="39"/>
      <c r="AT120" s="68">
        <f t="shared" si="77"/>
        <v>0</v>
      </c>
      <c r="AU120" s="68">
        <f t="shared" si="78"/>
        <v>0</v>
      </c>
      <c r="AV120" s="68">
        <f t="shared" si="79"/>
        <v>0</v>
      </c>
      <c r="AW120" s="68">
        <f t="shared" si="91"/>
        <v>0</v>
      </c>
      <c r="AX120" s="39"/>
      <c r="AY120" s="39"/>
    </row>
    <row r="121" spans="1:51" x14ac:dyDescent="0.25">
      <c r="A121" s="30">
        <v>2086</v>
      </c>
      <c r="B121" s="33">
        <f>w_uf*UF*Parámetros!C108</f>
        <v>1857763.5098310101</v>
      </c>
      <c r="C121" s="30">
        <f t="shared" si="86"/>
        <v>107</v>
      </c>
      <c r="D121" s="30">
        <f>((A121=Inputs!$C$12)*(Inputs!$D$12) + (A121=Inputs!$C$13)*(Inputs!$D$13) + (A121=Inputs!$C$14)*(Inputs!$D$14)) *(A121 &gt;= a_afil)*(A121&gt;=2024)</f>
        <v>0</v>
      </c>
      <c r="E121" s="30">
        <f>MIN(1,(A121=Inputs!$C$19)*Inputs!$D$19+(A121=Inputs!$C$20)*Inputs!$D$20+(A121=Inputs!$C$21)*Inputs!$D$21*(A121 &gt;= a_afil))</f>
        <v>0</v>
      </c>
      <c r="F121" s="30">
        <f t="shared" si="87"/>
        <v>0</v>
      </c>
      <c r="G121" s="30">
        <f t="shared" si="88"/>
        <v>0</v>
      </c>
      <c r="H121" s="30">
        <v>0.25906097888946533</v>
      </c>
      <c r="I121" s="37">
        <f t="shared" si="69"/>
        <v>0</v>
      </c>
      <c r="J121" s="37">
        <f t="shared" si="70"/>
        <v>0</v>
      </c>
      <c r="K121" s="30">
        <f>1*OR(Inputs!$D$17=$A121,Inputs!$E$17=$A121)*($E121=0)*(F121=1)</f>
        <v>0</v>
      </c>
      <c r="L121" s="30">
        <f>1*OR(Inputs!$D$17=$A121,Inputs!$E$17=$A121)*($E121=0)*(G121=1)</f>
        <v>0</v>
      </c>
      <c r="M121" s="73">
        <f t="shared" si="59"/>
        <v>0</v>
      </c>
      <c r="N121" s="73">
        <f t="shared" si="60"/>
        <v>0</v>
      </c>
      <c r="O121" s="55">
        <f>Parámetros!$E108*12*I121*$P$14</f>
        <v>0</v>
      </c>
      <c r="P121" s="55">
        <f>Parámetros!$E108*12*J121*$P$14</f>
        <v>0</v>
      </c>
      <c r="Q121" s="70">
        <f t="shared" si="39"/>
        <v>0</v>
      </c>
      <c r="R121" s="70">
        <f t="shared" si="40"/>
        <v>0</v>
      </c>
      <c r="S121" s="68">
        <f t="shared" si="84"/>
        <v>0</v>
      </c>
      <c r="T121" s="68">
        <f t="shared" si="85"/>
        <v>0</v>
      </c>
      <c r="U121" s="177"/>
      <c r="V121" s="68">
        <f t="shared" si="80"/>
        <v>0</v>
      </c>
      <c r="W121" s="68">
        <f t="shared" si="81"/>
        <v>0</v>
      </c>
      <c r="X121" s="54">
        <f t="shared" si="92"/>
        <v>0</v>
      </c>
      <c r="Y121" s="54">
        <f t="shared" si="93"/>
        <v>0</v>
      </c>
      <c r="Z121" s="55">
        <f t="shared" si="82"/>
        <v>0</v>
      </c>
      <c r="AA121" s="55">
        <f t="shared" si="83"/>
        <v>0</v>
      </c>
      <c r="AB121" s="53">
        <f>D121*mmater*Parámetros!$G108*$X$5+AB120*(1+i_noc)</f>
        <v>0</v>
      </c>
      <c r="AC121" s="53">
        <f>E121*12*Parámetros!$F108*$X$5+AC120*(1+i_noc)</f>
        <v>2626504.3166209906</v>
      </c>
      <c r="AD121" s="53"/>
      <c r="AE121" s="53"/>
      <c r="AF121" s="175"/>
      <c r="AG121" s="74">
        <f t="shared" si="89"/>
        <v>0</v>
      </c>
      <c r="AH121" s="52">
        <f t="shared" si="90"/>
        <v>0</v>
      </c>
      <c r="AI121" s="56">
        <f t="shared" si="71"/>
        <v>0</v>
      </c>
      <c r="AJ121" s="56">
        <f t="shared" si="72"/>
        <v>0</v>
      </c>
      <c r="AK121" s="56"/>
      <c r="AL121" s="56"/>
      <c r="AM121" s="56"/>
      <c r="AN121" s="56"/>
      <c r="AO121" s="56">
        <f t="shared" si="73"/>
        <v>0</v>
      </c>
      <c r="AP121" s="56">
        <f t="shared" si="74"/>
        <v>0</v>
      </c>
      <c r="AQ121" s="53">
        <f t="shared" si="75"/>
        <v>0</v>
      </c>
      <c r="AR121" s="53">
        <f t="shared" si="76"/>
        <v>0</v>
      </c>
      <c r="AS121" s="39"/>
      <c r="AT121" s="68">
        <f t="shared" si="77"/>
        <v>0</v>
      </c>
      <c r="AU121" s="68">
        <f t="shared" si="78"/>
        <v>0</v>
      </c>
      <c r="AV121" s="68">
        <f t="shared" si="79"/>
        <v>0</v>
      </c>
      <c r="AW121" s="68">
        <f t="shared" si="91"/>
        <v>0</v>
      </c>
      <c r="AX121" s="39"/>
      <c r="AY121" s="39"/>
    </row>
    <row r="122" spans="1:51" x14ac:dyDescent="0.25">
      <c r="A122" s="30">
        <v>2087</v>
      </c>
      <c r="B122" s="33">
        <f>w_uf*UF*Parámetros!C109</f>
        <v>1880985.5537038976</v>
      </c>
      <c r="C122" s="30">
        <f t="shared" si="86"/>
        <v>108</v>
      </c>
      <c r="D122" s="30">
        <f>((A122=Inputs!$C$12)*(Inputs!$D$12) + (A122=Inputs!$C$13)*(Inputs!$D$13) + (A122=Inputs!$C$14)*(Inputs!$D$14)) *(A122 &gt;= a_afil)*(A122&gt;=2024)</f>
        <v>0</v>
      </c>
      <c r="E122" s="30">
        <f>MIN(1,(A122=Inputs!$C$19)*Inputs!$D$19+(A122=Inputs!$C$20)*Inputs!$D$20+(A122=Inputs!$C$21)*Inputs!$D$21*(A122 &gt;= a_afil))</f>
        <v>0</v>
      </c>
      <c r="F122" s="30">
        <f t="shared" si="87"/>
        <v>0</v>
      </c>
      <c r="G122" s="30">
        <f t="shared" si="88"/>
        <v>0</v>
      </c>
      <c r="H122" s="30">
        <v>0.25954133272171021</v>
      </c>
      <c r="I122" s="37">
        <f t="shared" ref="I122:I134" si="94">IF(F122=1,+dens_cot,0)</f>
        <v>0</v>
      </c>
      <c r="J122" s="37">
        <f t="shared" si="70"/>
        <v>0</v>
      </c>
      <c r="K122" s="30">
        <f>1*OR(Inputs!$D$17=$A122,Inputs!$E$17=$A122)*($E122=0)*(F122=1)</f>
        <v>0</v>
      </c>
      <c r="L122" s="30">
        <f>1*OR(Inputs!$D$17=$A122,Inputs!$E$17=$A122)*($E122=0)*(G122=1)</f>
        <v>0</v>
      </c>
      <c r="M122" s="73">
        <f t="shared" si="59"/>
        <v>0</v>
      </c>
      <c r="N122" s="73">
        <f t="shared" si="60"/>
        <v>0</v>
      </c>
      <c r="O122" s="55">
        <f>Parámetros!$E109*12*I122*$P$14</f>
        <v>0</v>
      </c>
      <c r="P122" s="55">
        <f>Parámetros!$E109*12*J122*$P$14</f>
        <v>0</v>
      </c>
      <c r="Q122" s="70">
        <f t="shared" si="39"/>
        <v>0</v>
      </c>
      <c r="R122" s="70">
        <f t="shared" si="40"/>
        <v>0</v>
      </c>
      <c r="S122" s="68">
        <f t="shared" si="84"/>
        <v>0</v>
      </c>
      <c r="T122" s="68">
        <f t="shared" si="85"/>
        <v>0</v>
      </c>
      <c r="U122" s="177"/>
      <c r="V122" s="68">
        <f t="shared" si="80"/>
        <v>0</v>
      </c>
      <c r="W122" s="68">
        <f t="shared" si="81"/>
        <v>0</v>
      </c>
      <c r="X122" s="54">
        <f t="shared" si="92"/>
        <v>0</v>
      </c>
      <c r="Y122" s="54">
        <f t="shared" si="93"/>
        <v>0</v>
      </c>
      <c r="Z122" s="55">
        <f t="shared" si="82"/>
        <v>0</v>
      </c>
      <c r="AA122" s="55">
        <f t="shared" si="83"/>
        <v>0</v>
      </c>
      <c r="AB122" s="53">
        <f>D122*mmater*Parámetros!$G109*$X$5+AB121*(1+i_noc)</f>
        <v>0</v>
      </c>
      <c r="AC122" s="53">
        <f>E122*12*Parámetros!$F109*$X$5+AC121*(1+i_noc)</f>
        <v>2679034.4029534105</v>
      </c>
      <c r="AD122" s="53"/>
      <c r="AE122" s="53"/>
      <c r="AF122" s="175"/>
      <c r="AG122" s="74">
        <f t="shared" si="89"/>
        <v>0</v>
      </c>
      <c r="AH122" s="52">
        <f t="shared" si="90"/>
        <v>0</v>
      </c>
      <c r="AI122" s="56">
        <f t="shared" si="71"/>
        <v>0</v>
      </c>
      <c r="AJ122" s="56">
        <f t="shared" si="72"/>
        <v>0</v>
      </c>
      <c r="AK122" s="56"/>
      <c r="AL122" s="56"/>
      <c r="AM122" s="56"/>
      <c r="AN122" s="56"/>
      <c r="AO122" s="56">
        <f t="shared" si="73"/>
        <v>0</v>
      </c>
      <c r="AP122" s="56">
        <f t="shared" si="74"/>
        <v>0</v>
      </c>
      <c r="AQ122" s="53">
        <f t="shared" si="75"/>
        <v>0</v>
      </c>
      <c r="AR122" s="53">
        <f t="shared" si="76"/>
        <v>0</v>
      </c>
      <c r="AS122" s="39"/>
      <c r="AT122" s="68">
        <f t="shared" si="77"/>
        <v>0</v>
      </c>
      <c r="AU122" s="68">
        <f t="shared" si="78"/>
        <v>0</v>
      </c>
      <c r="AV122" s="68">
        <f t="shared" si="79"/>
        <v>0</v>
      </c>
      <c r="AW122" s="68">
        <f t="shared" si="91"/>
        <v>0</v>
      </c>
      <c r="AX122" s="39"/>
      <c r="AY122" s="39"/>
    </row>
    <row r="123" spans="1:51" x14ac:dyDescent="0.25">
      <c r="A123" s="30">
        <v>2088</v>
      </c>
      <c r="B123" s="33">
        <f>w_uf*UF*Parámetros!C110</f>
        <v>1904497.8731251962</v>
      </c>
      <c r="C123" s="30">
        <f t="shared" si="86"/>
        <v>109</v>
      </c>
      <c r="D123" s="30">
        <f>((A123=Inputs!$C$12)*(Inputs!$D$12) + (A123=Inputs!$C$13)*(Inputs!$D$13) + (A123=Inputs!$C$14)*(Inputs!$D$14)) *(A123 &gt;= a_afil)*(A123&gt;=2024)</f>
        <v>0</v>
      </c>
      <c r="E123" s="30">
        <f>MIN(1,(A123=Inputs!$C$19)*Inputs!$D$19+(A123=Inputs!$C$20)*Inputs!$D$20+(A123=Inputs!$C$21)*Inputs!$D$21*(A123 &gt;= a_afil))</f>
        <v>0</v>
      </c>
      <c r="F123" s="30">
        <f t="shared" si="87"/>
        <v>0</v>
      </c>
      <c r="G123" s="30">
        <f t="shared" si="88"/>
        <v>0</v>
      </c>
      <c r="H123" s="30">
        <v>0.17869353294372559</v>
      </c>
      <c r="I123" s="37">
        <f t="shared" si="94"/>
        <v>0</v>
      </c>
      <c r="J123" s="37">
        <f t="shared" si="70"/>
        <v>0</v>
      </c>
      <c r="K123" s="30">
        <f>1*OR(Inputs!$D$17=$A123,Inputs!$E$17=$A123)*($E123=0)*(F123=1)</f>
        <v>0</v>
      </c>
      <c r="L123" s="30">
        <f>1*OR(Inputs!$D$17=$A123,Inputs!$E$17=$A123)*($E123=0)*(G123=1)</f>
        <v>0</v>
      </c>
      <c r="M123" s="73">
        <f t="shared" si="59"/>
        <v>0</v>
      </c>
      <c r="N123" s="73">
        <f t="shared" si="60"/>
        <v>0</v>
      </c>
      <c r="O123" s="55">
        <f>Parámetros!$E110*12*I123*$P$14</f>
        <v>0</v>
      </c>
      <c r="P123" s="55">
        <f>Parámetros!$E110*12*J123*$P$14</f>
        <v>0</v>
      </c>
      <c r="Q123" s="70">
        <f t="shared" ref="Q123:Q135" si="95">MIN($B123,_xlfn.XLOOKUP($A123,agnos,tope_base)*UF)*12*I123*$X$2</f>
        <v>0</v>
      </c>
      <c r="R123" s="70">
        <f t="shared" ref="R123:R135" si="96">MIN($B123,_xlfn.XLOOKUP($A123,agnos,tope_base)*UF)*12*J123*$X$2</f>
        <v>0</v>
      </c>
      <c r="S123" s="68">
        <f t="shared" si="84"/>
        <v>0</v>
      </c>
      <c r="T123" s="68">
        <f t="shared" si="85"/>
        <v>0</v>
      </c>
      <c r="U123" s="177"/>
      <c r="V123" s="68">
        <f t="shared" si="80"/>
        <v>0</v>
      </c>
      <c r="W123" s="68">
        <f t="shared" si="81"/>
        <v>0</v>
      </c>
      <c r="X123" s="54">
        <f t="shared" si="92"/>
        <v>0</v>
      </c>
      <c r="Y123" s="54">
        <f t="shared" si="93"/>
        <v>0</v>
      </c>
      <c r="Z123" s="55">
        <f t="shared" si="82"/>
        <v>0</v>
      </c>
      <c r="AA123" s="55">
        <f t="shared" si="83"/>
        <v>0</v>
      </c>
      <c r="AB123" s="53">
        <f>D123*mmater*Parámetros!$G110*$X$5+AB122*(1+i_noc)</f>
        <v>0</v>
      </c>
      <c r="AC123" s="53">
        <f>E123*12*Parámetros!$F110*$X$5+AC122*(1+i_noc)</f>
        <v>2732615.0910124788</v>
      </c>
      <c r="AD123" s="53"/>
      <c r="AE123" s="53"/>
      <c r="AF123" s="175"/>
      <c r="AG123" s="74">
        <f t="shared" si="89"/>
        <v>0</v>
      </c>
      <c r="AH123" s="52">
        <f t="shared" si="90"/>
        <v>0</v>
      </c>
      <c r="AI123" s="56">
        <f t="shared" ref="AI123:AI135" si="97">($A123=D$9)*SUM(V123,Z123)/(12*_xlfn.XLOOKUP(AI$15,sexo_cnu,cnu))</f>
        <v>0</v>
      </c>
      <c r="AJ123" s="56">
        <f t="shared" ref="AJ123:AJ135" si="98">($A123=E$9)*SUM(W123,AA123)/(12*_xlfn.XLOOKUP(AJ$15,sexo_cnu,cnu))</f>
        <v>0</v>
      </c>
      <c r="AK123" s="56"/>
      <c r="AL123" s="56"/>
      <c r="AM123" s="56"/>
      <c r="AN123" s="56"/>
      <c r="AO123" s="56">
        <f t="shared" ref="AO123:AO135" si="99">($A123=E$9)*AB123/(12*_xlfn.XLOOKUP(AO$15,sexo_cnu,cnu_noc))</f>
        <v>0</v>
      </c>
      <c r="AP123" s="56">
        <f t="shared" ref="AP123:AP135" si="100">($A123=E$9)*AC123/(12*_xlfn.XLOOKUP(AP$15,sexo_cnu,cnu_noc))</f>
        <v>0</v>
      </c>
      <c r="AQ123" s="53">
        <f t="shared" ref="AQ123:AQ135" si="101">($A123=D$9)*AD123/(12*_xlfn.XLOOKUP(AQ$15,sexo_cnu,cnu_noc))</f>
        <v>0</v>
      </c>
      <c r="AR123" s="53">
        <f t="shared" ref="AR123:AR135" si="102">($A123=E$9)*AE123/(12*_xlfn.XLOOKUP(AR$15,sexo_cnu,cnu_noc))</f>
        <v>0</v>
      </c>
      <c r="AS123" s="39"/>
      <c r="AT123" s="68">
        <f t="shared" ref="AT123:AT135" si="103">IF($A123=a_nac+edad_ret_h,V123/(12*_xlfn.XLOOKUP(AT$15,sexo_cnu,cnu)),0)</f>
        <v>0</v>
      </c>
      <c r="AU123" s="68">
        <f t="shared" ref="AU123:AU135" si="104">IF($A123=a_nac+edad_ret_m,W123/(12*_xlfn.XLOOKUP(AU$15,sexo_cnu,cnu)),0)</f>
        <v>0</v>
      </c>
      <c r="AV123" s="68">
        <f t="shared" ref="AV123:AV135" si="105">IF($A123=a_nac+edad_ret_h,Z123/(12*_xlfn.XLOOKUP(AV$15,sexo_cnu,cnu)),0)</f>
        <v>0</v>
      </c>
      <c r="AW123" s="68">
        <f t="shared" si="91"/>
        <v>0</v>
      </c>
      <c r="AX123" s="39"/>
      <c r="AY123" s="39"/>
    </row>
    <row r="124" spans="1:51" x14ac:dyDescent="0.25">
      <c r="A124" s="30">
        <v>2089</v>
      </c>
      <c r="B124" s="33">
        <f>w_uf*UF*Parámetros!C111</f>
        <v>1928304.0965392611</v>
      </c>
      <c r="C124" s="30">
        <f t="shared" si="86"/>
        <v>110</v>
      </c>
      <c r="D124" s="30">
        <f>((A124=Inputs!$C$12)*(Inputs!$D$12) + (A124=Inputs!$C$13)*(Inputs!$D$13) + (A124=Inputs!$C$14)*(Inputs!$D$14)) *(A124 &gt;= a_afil)*(A124&gt;=2024)</f>
        <v>0</v>
      </c>
      <c r="E124" s="30">
        <f>MIN(1,(A124=Inputs!$C$19)*Inputs!$D$19+(A124=Inputs!$C$20)*Inputs!$D$20+(A124=Inputs!$C$21)*Inputs!$D$21*(A124 &gt;= a_afil))</f>
        <v>0</v>
      </c>
      <c r="F124" s="30">
        <f t="shared" si="87"/>
        <v>0</v>
      </c>
      <c r="G124" s="30">
        <f t="shared" si="88"/>
        <v>0</v>
      </c>
      <c r="H124" s="30">
        <v>0.34695714712142944</v>
      </c>
      <c r="I124" s="37">
        <f t="shared" si="94"/>
        <v>0</v>
      </c>
      <c r="J124" s="37">
        <f t="shared" si="70"/>
        <v>0</v>
      </c>
      <c r="K124" s="30">
        <f>1*OR(Inputs!$D$17=$A124,Inputs!$E$17=$A124)*($E124=0)*(F124=1)</f>
        <v>0</v>
      </c>
      <c r="L124" s="30">
        <f>1*OR(Inputs!$D$17=$A124,Inputs!$E$17=$A124)*($E124=0)*(G124=1)</f>
        <v>0</v>
      </c>
      <c r="M124" s="73">
        <f t="shared" si="59"/>
        <v>0</v>
      </c>
      <c r="N124" s="73">
        <f t="shared" si="60"/>
        <v>0</v>
      </c>
      <c r="O124" s="55">
        <f>Parámetros!$E111*12*I124*$P$14</f>
        <v>0</v>
      </c>
      <c r="P124" s="55">
        <f>Parámetros!$E111*12*J124*$P$14</f>
        <v>0</v>
      </c>
      <c r="Q124" s="70">
        <f t="shared" si="95"/>
        <v>0</v>
      </c>
      <c r="R124" s="70">
        <f t="shared" si="96"/>
        <v>0</v>
      </c>
      <c r="S124" s="68">
        <f t="shared" si="84"/>
        <v>0</v>
      </c>
      <c r="T124" s="68">
        <f t="shared" si="85"/>
        <v>0</v>
      </c>
      <c r="U124" s="177"/>
      <c r="V124" s="68">
        <f t="shared" si="80"/>
        <v>0</v>
      </c>
      <c r="W124" s="68">
        <f t="shared" si="81"/>
        <v>0</v>
      </c>
      <c r="X124" s="54">
        <f t="shared" si="92"/>
        <v>0</v>
      </c>
      <c r="Y124" s="54">
        <f t="shared" si="93"/>
        <v>0</v>
      </c>
      <c r="Z124" s="55">
        <f t="shared" si="82"/>
        <v>0</v>
      </c>
      <c r="AA124" s="55">
        <f t="shared" si="83"/>
        <v>0</v>
      </c>
      <c r="AB124" s="53">
        <f>D124*mmater*Parámetros!$G111*$X$5+AB123*(1+i_noc)</f>
        <v>0</v>
      </c>
      <c r="AC124" s="53">
        <f>E124*12*Parámetros!$F111*$X$5+AC123*(1+i_noc)</f>
        <v>2787267.3928327286</v>
      </c>
      <c r="AD124" s="53"/>
      <c r="AE124" s="53"/>
      <c r="AF124" s="175"/>
      <c r="AG124" s="74">
        <f t="shared" si="89"/>
        <v>0</v>
      </c>
      <c r="AH124" s="52">
        <f t="shared" si="90"/>
        <v>0</v>
      </c>
      <c r="AI124" s="56">
        <f t="shared" si="97"/>
        <v>0</v>
      </c>
      <c r="AJ124" s="56">
        <f t="shared" si="98"/>
        <v>0</v>
      </c>
      <c r="AK124" s="56"/>
      <c r="AL124" s="56"/>
      <c r="AM124" s="56"/>
      <c r="AN124" s="56"/>
      <c r="AO124" s="56">
        <f t="shared" si="99"/>
        <v>0</v>
      </c>
      <c r="AP124" s="56">
        <f t="shared" si="100"/>
        <v>0</v>
      </c>
      <c r="AQ124" s="53">
        <f t="shared" si="101"/>
        <v>0</v>
      </c>
      <c r="AR124" s="53">
        <f t="shared" si="102"/>
        <v>0</v>
      </c>
      <c r="AS124" s="39"/>
      <c r="AT124" s="68">
        <f t="shared" si="103"/>
        <v>0</v>
      </c>
      <c r="AU124" s="68">
        <f t="shared" si="104"/>
        <v>0</v>
      </c>
      <c r="AV124" s="68">
        <f t="shared" si="105"/>
        <v>0</v>
      </c>
      <c r="AW124" s="68">
        <f t="shared" si="91"/>
        <v>0</v>
      </c>
      <c r="AX124" s="39"/>
      <c r="AY124" s="39"/>
    </row>
    <row r="125" spans="1:51" x14ac:dyDescent="0.25">
      <c r="A125" s="30">
        <v>2090</v>
      </c>
      <c r="B125" s="33">
        <f>w_uf*UF*Parámetros!C112</f>
        <v>1952407.8977460021</v>
      </c>
      <c r="C125" s="30" t="str">
        <f t="shared" si="86"/>
        <v/>
      </c>
      <c r="D125" s="30">
        <f>((A125=Inputs!$C$12)*(Inputs!$D$12) + (A125=Inputs!$C$13)*(Inputs!$D$13) + (A125=Inputs!$C$14)*(Inputs!$D$14)) *(A125 &gt;= a_afil)*(A125&gt;=2024)</f>
        <v>0</v>
      </c>
      <c r="E125" s="30">
        <f>MIN(1,(A125=Inputs!$C$19)*Inputs!$D$19+(A125=Inputs!$C$20)*Inputs!$D$20+(A125=Inputs!$C$21)*Inputs!$D$21*(A125 &gt;= a_afil))</f>
        <v>0</v>
      </c>
      <c r="F125" s="30">
        <f t="shared" si="87"/>
        <v>0</v>
      </c>
      <c r="G125" s="30">
        <f t="shared" si="88"/>
        <v>0</v>
      </c>
      <c r="H125" s="30">
        <v>2.5056600570678711E-3</v>
      </c>
      <c r="I125" s="37">
        <f t="shared" si="94"/>
        <v>0</v>
      </c>
      <c r="J125" s="37">
        <f t="shared" si="70"/>
        <v>0</v>
      </c>
      <c r="K125" s="30">
        <f>1*OR(Inputs!$D$17=$A125,Inputs!$E$17=$A125)*($E125=0)*(F125=1)</f>
        <v>0</v>
      </c>
      <c r="L125" s="30">
        <f>1*OR(Inputs!$D$17=$A125,Inputs!$E$17=$A125)*($E125=0)*(G125=1)</f>
        <v>0</v>
      </c>
      <c r="M125" s="73">
        <f t="shared" si="59"/>
        <v>0</v>
      </c>
      <c r="N125" s="73">
        <f t="shared" si="60"/>
        <v>0</v>
      </c>
      <c r="O125" s="55">
        <f>Parámetros!$E112*12*I125*$P$14</f>
        <v>0</v>
      </c>
      <c r="P125" s="55">
        <f>Parámetros!$E112*12*J125*$P$14</f>
        <v>0</v>
      </c>
      <c r="Q125" s="70">
        <f t="shared" si="95"/>
        <v>0</v>
      </c>
      <c r="R125" s="70">
        <f t="shared" si="96"/>
        <v>0</v>
      </c>
      <c r="S125" s="68">
        <f t="shared" si="84"/>
        <v>0</v>
      </c>
      <c r="T125" s="68">
        <f t="shared" si="85"/>
        <v>0</v>
      </c>
      <c r="U125" s="177"/>
      <c r="V125" s="68">
        <f t="shared" ref="V125:V135" si="106">M125*alpha+O125*(1-alpha)+F124*V124*(1+_xlfn.XLOOKUP(MIN(2024,$A124),agnos_rent,rent_base))*(1-$X$6)</f>
        <v>0</v>
      </c>
      <c r="W125" s="68">
        <f t="shared" ref="W125:W135" si="107">N125*alpha+P125*(1-alpha)+G124*W124*(1+_xlfn.XLOOKUP(MIN(2024,$A124),agnos_rent,rent_base))*(1-$X$6)</f>
        <v>0</v>
      </c>
      <c r="X125" s="54">
        <f t="shared" si="92"/>
        <v>0</v>
      </c>
      <c r="Y125" s="54">
        <f t="shared" si="93"/>
        <v>0</v>
      </c>
      <c r="Z125" s="55">
        <f t="shared" ref="Z125:Z135" si="108">F124*Z124*(1+_xlfn.XLOOKUP(MIN(2024,$A124),agnos_rent,rent_base))*(1-$X$6)+S125</f>
        <v>0</v>
      </c>
      <c r="AA125" s="55">
        <f t="shared" ref="AA125:AA135" si="109">G124*AA124*(1+_xlfn.XLOOKUP(MIN(2024,$A124),agnos_rent,rent_base))*(1-$X$6)+T125</f>
        <v>0</v>
      </c>
      <c r="AB125" s="53">
        <f>D125*mmater*Parámetros!$G112*$X$5+AB124*(1+i_noc)</f>
        <v>0</v>
      </c>
      <c r="AC125" s="53">
        <f>E125*12*Parámetros!$F112*$X$5+AC124*(1+i_noc)</f>
        <v>2843012.7406893834</v>
      </c>
      <c r="AD125" s="53"/>
      <c r="AE125" s="53"/>
      <c r="AF125" s="175"/>
      <c r="AG125" s="74">
        <f t="shared" si="89"/>
        <v>0</v>
      </c>
      <c r="AH125" s="52">
        <f t="shared" si="90"/>
        <v>0</v>
      </c>
      <c r="AI125" s="56">
        <f t="shared" si="97"/>
        <v>0</v>
      </c>
      <c r="AJ125" s="56">
        <f t="shared" si="98"/>
        <v>0</v>
      </c>
      <c r="AK125" s="56"/>
      <c r="AL125" s="56"/>
      <c r="AM125" s="56"/>
      <c r="AN125" s="56"/>
      <c r="AO125" s="56">
        <f t="shared" si="99"/>
        <v>0</v>
      </c>
      <c r="AP125" s="56">
        <f t="shared" si="100"/>
        <v>0</v>
      </c>
      <c r="AQ125" s="53">
        <f t="shared" si="101"/>
        <v>0</v>
      </c>
      <c r="AR125" s="53">
        <f t="shared" si="102"/>
        <v>0</v>
      </c>
      <c r="AS125" s="39"/>
      <c r="AT125" s="68">
        <f t="shared" si="103"/>
        <v>0</v>
      </c>
      <c r="AU125" s="68">
        <f t="shared" si="104"/>
        <v>0</v>
      </c>
      <c r="AV125" s="68">
        <f t="shared" si="105"/>
        <v>0</v>
      </c>
      <c r="AW125" s="68">
        <f t="shared" si="91"/>
        <v>0</v>
      </c>
      <c r="AX125" s="39"/>
      <c r="AY125" s="39"/>
    </row>
    <row r="126" spans="1:51" x14ac:dyDescent="0.25">
      <c r="A126" s="30">
        <v>2091</v>
      </c>
      <c r="B126" s="33">
        <f>w_uf*UF*Parámetros!C113</f>
        <v>1976812.9964678269</v>
      </c>
      <c r="C126" s="30" t="str">
        <f t="shared" si="86"/>
        <v/>
      </c>
      <c r="D126" s="30">
        <f>((A126=Inputs!$C$12)*(Inputs!$D$12) + (A126=Inputs!$C$13)*(Inputs!$D$13) + (A126=Inputs!$C$14)*(Inputs!$D$14)) *(A126 &gt;= a_afil)*(A126&gt;=2024)</f>
        <v>0</v>
      </c>
      <c r="E126" s="30">
        <f>MIN(1,(A126=Inputs!$C$19)*Inputs!$D$19+(A126=Inputs!$C$20)*Inputs!$D$20+(A126=Inputs!$C$21)*Inputs!$D$21*(A126 &gt;= a_afil))</f>
        <v>0</v>
      </c>
      <c r="F126" s="30">
        <f t="shared" si="87"/>
        <v>0</v>
      </c>
      <c r="G126" s="30">
        <f t="shared" si="88"/>
        <v>0</v>
      </c>
      <c r="H126" s="30">
        <v>0.74234205484390259</v>
      </c>
      <c r="I126" s="37">
        <f t="shared" si="94"/>
        <v>0</v>
      </c>
      <c r="J126" s="37">
        <f t="shared" si="70"/>
        <v>0</v>
      </c>
      <c r="K126" s="30">
        <f>1*OR(Inputs!$D$17=$A126,Inputs!$E$17=$A126)*($E126=0)*(F126=1)</f>
        <v>0</v>
      </c>
      <c r="L126" s="30">
        <f>1*OR(Inputs!$D$17=$A126,Inputs!$E$17=$A126)*($E126=0)*(G126=1)</f>
        <v>0</v>
      </c>
      <c r="M126" s="73">
        <f t="shared" si="59"/>
        <v>0</v>
      </c>
      <c r="N126" s="73">
        <f t="shared" si="60"/>
        <v>0</v>
      </c>
      <c r="O126" s="55">
        <f>Parámetros!$E113*12*I126*$P$14</f>
        <v>0</v>
      </c>
      <c r="P126" s="55">
        <f>Parámetros!$E113*12*J126*$P$14</f>
        <v>0</v>
      </c>
      <c r="Q126" s="70">
        <f t="shared" si="95"/>
        <v>0</v>
      </c>
      <c r="R126" s="70">
        <f t="shared" si="96"/>
        <v>0</v>
      </c>
      <c r="S126" s="68">
        <f t="shared" si="84"/>
        <v>0</v>
      </c>
      <c r="T126" s="68">
        <f t="shared" si="85"/>
        <v>0</v>
      </c>
      <c r="U126" s="177"/>
      <c r="V126" s="68">
        <f t="shared" si="106"/>
        <v>0</v>
      </c>
      <c r="W126" s="68">
        <f t="shared" si="107"/>
        <v>0</v>
      </c>
      <c r="X126" s="54">
        <f t="shared" si="92"/>
        <v>0</v>
      </c>
      <c r="Y126" s="54">
        <f t="shared" si="93"/>
        <v>0</v>
      </c>
      <c r="Z126" s="55">
        <f t="shared" si="108"/>
        <v>0</v>
      </c>
      <c r="AA126" s="55">
        <f t="shared" si="109"/>
        <v>0</v>
      </c>
      <c r="AB126" s="53">
        <f>D126*mmater*Parámetros!$G113*$X$5+AB125*(1+i_noc)</f>
        <v>0</v>
      </c>
      <c r="AC126" s="53">
        <f>E126*12*Parámetros!$F113*$X$5+AC125*(1+i_noc)</f>
        <v>2899872.9955031709</v>
      </c>
      <c r="AD126" s="53"/>
      <c r="AE126" s="53"/>
      <c r="AF126" s="175"/>
      <c r="AG126" s="74">
        <f t="shared" si="89"/>
        <v>0</v>
      </c>
      <c r="AH126" s="52">
        <f t="shared" si="90"/>
        <v>0</v>
      </c>
      <c r="AI126" s="56">
        <f t="shared" si="97"/>
        <v>0</v>
      </c>
      <c r="AJ126" s="56">
        <f t="shared" si="98"/>
        <v>0</v>
      </c>
      <c r="AK126" s="56"/>
      <c r="AL126" s="56"/>
      <c r="AM126" s="56"/>
      <c r="AN126" s="56"/>
      <c r="AO126" s="56">
        <f t="shared" si="99"/>
        <v>0</v>
      </c>
      <c r="AP126" s="56">
        <f t="shared" si="100"/>
        <v>0</v>
      </c>
      <c r="AQ126" s="53">
        <f t="shared" si="101"/>
        <v>0</v>
      </c>
      <c r="AR126" s="53">
        <f t="shared" si="102"/>
        <v>0</v>
      </c>
      <c r="AS126" s="39"/>
      <c r="AT126" s="68">
        <f t="shared" si="103"/>
        <v>0</v>
      </c>
      <c r="AU126" s="68">
        <f t="shared" si="104"/>
        <v>0</v>
      </c>
      <c r="AV126" s="68">
        <f t="shared" si="105"/>
        <v>0</v>
      </c>
      <c r="AW126" s="68">
        <f t="shared" si="91"/>
        <v>0</v>
      </c>
      <c r="AX126" s="39"/>
      <c r="AY126" s="39"/>
    </row>
    <row r="127" spans="1:51" x14ac:dyDescent="0.25">
      <c r="A127" s="30">
        <v>2092</v>
      </c>
      <c r="B127" s="33">
        <f>w_uf*UF*Parámetros!C114</f>
        <v>2001523.1589236746</v>
      </c>
      <c r="C127" s="30" t="str">
        <f t="shared" si="86"/>
        <v/>
      </c>
      <c r="D127" s="30">
        <f>((A127=Inputs!$C$12)*(Inputs!$D$12) + (A127=Inputs!$C$13)*(Inputs!$D$13) + (A127=Inputs!$C$14)*(Inputs!$D$14)) *(A127 &gt;= a_afil)*(A127&gt;=2024)</f>
        <v>0</v>
      </c>
      <c r="E127" s="30">
        <f>MIN(1,(A127=Inputs!$C$19)*Inputs!$D$19+(A127=Inputs!$C$20)*Inputs!$D$20+(A127=Inputs!$C$21)*Inputs!$D$21*(A127 &gt;= a_afil))</f>
        <v>0</v>
      </c>
      <c r="F127" s="30">
        <f t="shared" si="87"/>
        <v>0</v>
      </c>
      <c r="G127" s="30">
        <f t="shared" si="88"/>
        <v>0</v>
      </c>
      <c r="H127" s="30">
        <v>0.84088706970214844</v>
      </c>
      <c r="I127" s="37">
        <f t="shared" si="94"/>
        <v>0</v>
      </c>
      <c r="J127" s="37">
        <f t="shared" si="70"/>
        <v>0</v>
      </c>
      <c r="K127" s="30">
        <f>1*OR(Inputs!$D$17=$A127,Inputs!$E$17=$A127)*($E127=0)*(F127=1)</f>
        <v>0</v>
      </c>
      <c r="L127" s="30">
        <f>1*OR(Inputs!$D$17=$A127,Inputs!$E$17=$A127)*($E127=0)*(G127=1)</f>
        <v>0</v>
      </c>
      <c r="M127" s="73">
        <f t="shared" si="59"/>
        <v>0</v>
      </c>
      <c r="N127" s="73">
        <f t="shared" si="60"/>
        <v>0</v>
      </c>
      <c r="O127" s="55">
        <f>Parámetros!$E114*12*I127*$P$14</f>
        <v>0</v>
      </c>
      <c r="P127" s="55">
        <f>Parámetros!$E114*12*J127*$P$14</f>
        <v>0</v>
      </c>
      <c r="Q127" s="70">
        <f t="shared" si="95"/>
        <v>0</v>
      </c>
      <c r="R127" s="70">
        <f t="shared" si="96"/>
        <v>0</v>
      </c>
      <c r="S127" s="68">
        <f t="shared" si="84"/>
        <v>0</v>
      </c>
      <c r="T127" s="68">
        <f t="shared" si="85"/>
        <v>0</v>
      </c>
      <c r="U127" s="177"/>
      <c r="V127" s="68">
        <f t="shared" si="106"/>
        <v>0</v>
      </c>
      <c r="W127" s="68">
        <f t="shared" si="107"/>
        <v>0</v>
      </c>
      <c r="X127" s="54">
        <f t="shared" si="92"/>
        <v>0</v>
      </c>
      <c r="Y127" s="54">
        <f t="shared" si="93"/>
        <v>0</v>
      </c>
      <c r="Z127" s="55">
        <f t="shared" si="108"/>
        <v>0</v>
      </c>
      <c r="AA127" s="55">
        <f t="shared" si="109"/>
        <v>0</v>
      </c>
      <c r="AB127" s="53">
        <f>D127*mmater*Parámetros!$G114*$X$5+AB126*(1+i_noc)</f>
        <v>0</v>
      </c>
      <c r="AC127" s="53">
        <f>E127*12*Parámetros!$F114*$X$5+AC126*(1+i_noc)</f>
        <v>2957870.4554132344</v>
      </c>
      <c r="AD127" s="53"/>
      <c r="AE127" s="53"/>
      <c r="AF127" s="175"/>
      <c r="AG127" s="74">
        <f t="shared" si="89"/>
        <v>0</v>
      </c>
      <c r="AH127" s="52">
        <f t="shared" si="90"/>
        <v>0</v>
      </c>
      <c r="AI127" s="56">
        <f t="shared" si="97"/>
        <v>0</v>
      </c>
      <c r="AJ127" s="56">
        <f t="shared" si="98"/>
        <v>0</v>
      </c>
      <c r="AK127" s="56"/>
      <c r="AL127" s="56"/>
      <c r="AM127" s="56"/>
      <c r="AN127" s="56"/>
      <c r="AO127" s="56">
        <f t="shared" si="99"/>
        <v>0</v>
      </c>
      <c r="AP127" s="56">
        <f t="shared" si="100"/>
        <v>0</v>
      </c>
      <c r="AQ127" s="53">
        <f t="shared" si="101"/>
        <v>0</v>
      </c>
      <c r="AR127" s="53">
        <f t="shared" si="102"/>
        <v>0</v>
      </c>
      <c r="AS127" s="39"/>
      <c r="AT127" s="68">
        <f t="shared" si="103"/>
        <v>0</v>
      </c>
      <c r="AU127" s="68">
        <f t="shared" si="104"/>
        <v>0</v>
      </c>
      <c r="AV127" s="68">
        <f t="shared" si="105"/>
        <v>0</v>
      </c>
      <c r="AW127" s="68">
        <f t="shared" si="91"/>
        <v>0</v>
      </c>
      <c r="AX127" s="39"/>
      <c r="AY127" s="39"/>
    </row>
    <row r="128" spans="1:51" x14ac:dyDescent="0.25">
      <c r="A128" s="30">
        <v>2093</v>
      </c>
      <c r="B128" s="33">
        <f>w_uf*UF*Parámetros!C115</f>
        <v>2026542.1984102204</v>
      </c>
      <c r="C128" s="30" t="str">
        <f t="shared" si="86"/>
        <v/>
      </c>
      <c r="D128" s="30">
        <f>((A128=Inputs!$C$12)*(Inputs!$D$12) + (A128=Inputs!$C$13)*(Inputs!$D$13) + (A128=Inputs!$C$14)*(Inputs!$D$14)) *(A128 &gt;= a_afil)*(A128&gt;=2024)</f>
        <v>0</v>
      </c>
      <c r="E128" s="30">
        <f>MIN(1,(A128=Inputs!$C$19)*Inputs!$D$19+(A128=Inputs!$C$20)*Inputs!$D$20+(A128=Inputs!$C$21)*Inputs!$D$21*(A128 &gt;= a_afil))</f>
        <v>0</v>
      </c>
      <c r="F128" s="30">
        <f t="shared" si="87"/>
        <v>0</v>
      </c>
      <c r="G128" s="30">
        <f t="shared" si="88"/>
        <v>0</v>
      </c>
      <c r="H128" s="30">
        <v>0.27858942747116089</v>
      </c>
      <c r="I128" s="37">
        <f t="shared" si="94"/>
        <v>0</v>
      </c>
      <c r="J128" s="37">
        <f t="shared" si="70"/>
        <v>0</v>
      </c>
      <c r="K128" s="30">
        <f>1*OR(Inputs!$D$17=$A128,Inputs!$E$17=$A128)*($E128=0)*(F128=1)</f>
        <v>0</v>
      </c>
      <c r="L128" s="30">
        <f>1*OR(Inputs!$D$17=$A128,Inputs!$E$17=$A128)*($E128=0)*(G128=1)</f>
        <v>0</v>
      </c>
      <c r="M128" s="73">
        <f t="shared" si="59"/>
        <v>0</v>
      </c>
      <c r="N128" s="73">
        <f t="shared" si="60"/>
        <v>0</v>
      </c>
      <c r="O128" s="55">
        <f>Parámetros!$E115*12*I128*$P$14</f>
        <v>0</v>
      </c>
      <c r="P128" s="55">
        <f>Parámetros!$E115*12*J128*$P$14</f>
        <v>0</v>
      </c>
      <c r="Q128" s="70">
        <f t="shared" si="95"/>
        <v>0</v>
      </c>
      <c r="R128" s="70">
        <f t="shared" si="96"/>
        <v>0</v>
      </c>
      <c r="S128" s="68">
        <f t="shared" ref="S128:S135" si="110">MIN($B128,_xlfn.XLOOKUP($A128,agnos,tope_ref_ind)*UF) * (12*I128*$X$3 +  K128*_xlfn.XLOOKUP(n_mes_laguna,giros_sc,tr_sc_acum)*($X$3+$X$4))</f>
        <v>0</v>
      </c>
      <c r="T128" s="68">
        <f t="shared" ref="T128:T135" si="111">MIN($B128,_xlfn.XLOOKUP($A128,agnos,tope_ref_ind)*UF) * (12*J128*$X$3 +  L128*_xlfn.XLOOKUP(n_mes_laguna,giros_sc,tr_sc_acum)*($X$3+$X$4))</f>
        <v>0</v>
      </c>
      <c r="U128" s="177"/>
      <c r="V128" s="68">
        <f t="shared" si="106"/>
        <v>0</v>
      </c>
      <c r="W128" s="68">
        <f t="shared" si="107"/>
        <v>0</v>
      </c>
      <c r="X128" s="54">
        <f t="shared" si="92"/>
        <v>0</v>
      </c>
      <c r="Y128" s="54">
        <f t="shared" si="93"/>
        <v>0</v>
      </c>
      <c r="Z128" s="55">
        <f t="shared" si="108"/>
        <v>0</v>
      </c>
      <c r="AA128" s="55">
        <f t="shared" si="109"/>
        <v>0</v>
      </c>
      <c r="AB128" s="53">
        <f>D128*mmater*Parámetros!$G115*$X$5+AB127*(1+i_noc)</f>
        <v>0</v>
      </c>
      <c r="AC128" s="53">
        <f>E128*12*Parámetros!$F115*$X$5+AC127*(1+i_noc)</f>
        <v>3017027.8645214993</v>
      </c>
      <c r="AD128" s="53"/>
      <c r="AE128" s="53"/>
      <c r="AF128" s="175"/>
      <c r="AG128" s="74">
        <f t="shared" si="89"/>
        <v>0</v>
      </c>
      <c r="AH128" s="52">
        <f t="shared" si="90"/>
        <v>0</v>
      </c>
      <c r="AI128" s="56">
        <f t="shared" si="97"/>
        <v>0</v>
      </c>
      <c r="AJ128" s="56">
        <f t="shared" si="98"/>
        <v>0</v>
      </c>
      <c r="AK128" s="56"/>
      <c r="AL128" s="56"/>
      <c r="AM128" s="56"/>
      <c r="AN128" s="56"/>
      <c r="AO128" s="56">
        <f t="shared" si="99"/>
        <v>0</v>
      </c>
      <c r="AP128" s="56">
        <f t="shared" si="100"/>
        <v>0</v>
      </c>
      <c r="AQ128" s="53">
        <f t="shared" si="101"/>
        <v>0</v>
      </c>
      <c r="AR128" s="53">
        <f t="shared" si="102"/>
        <v>0</v>
      </c>
      <c r="AS128" s="39"/>
      <c r="AT128" s="68">
        <f t="shared" si="103"/>
        <v>0</v>
      </c>
      <c r="AU128" s="68">
        <f t="shared" si="104"/>
        <v>0</v>
      </c>
      <c r="AV128" s="68">
        <f t="shared" si="105"/>
        <v>0</v>
      </c>
      <c r="AW128" s="68">
        <f t="shared" si="91"/>
        <v>0</v>
      </c>
      <c r="AX128" s="39"/>
      <c r="AY128" s="39"/>
    </row>
    <row r="129" spans="1:52" x14ac:dyDescent="0.25">
      <c r="A129" s="30">
        <v>2094</v>
      </c>
      <c r="B129" s="33">
        <f>w_uf*UF*Parámetros!C116</f>
        <v>2051873.9758903482</v>
      </c>
      <c r="C129" s="30" t="str">
        <f t="shared" si="86"/>
        <v/>
      </c>
      <c r="D129" s="30">
        <f>((A129=Inputs!$C$12)*(Inputs!$D$12) + (A129=Inputs!$C$13)*(Inputs!$D$13) + (A129=Inputs!$C$14)*(Inputs!$D$14)) *(A129 &gt;= a_afil)*(A129&gt;=2024)</f>
        <v>0</v>
      </c>
      <c r="E129" s="30">
        <f>MIN(1,(A129=Inputs!$C$19)*Inputs!$D$19+(A129=Inputs!$C$20)*Inputs!$D$20+(A129=Inputs!$C$21)*Inputs!$D$21*(A129 &gt;= a_afil))</f>
        <v>0</v>
      </c>
      <c r="F129" s="30">
        <f t="shared" si="87"/>
        <v>0</v>
      </c>
      <c r="G129" s="30">
        <f t="shared" si="88"/>
        <v>0</v>
      </c>
      <c r="H129" s="30">
        <v>0.70297014713287354</v>
      </c>
      <c r="I129" s="37">
        <f t="shared" si="94"/>
        <v>0</v>
      </c>
      <c r="J129" s="37">
        <f t="shared" si="70"/>
        <v>0</v>
      </c>
      <c r="K129" s="30">
        <f>1*OR(Inputs!$D$17=$A129,Inputs!$E$17=$A129)*($E129=0)*(F129=1)</f>
        <v>0</v>
      </c>
      <c r="L129" s="30">
        <f>1*OR(Inputs!$D$17=$A129,Inputs!$E$17=$A129)*($E129=0)*(G129=1)</f>
        <v>0</v>
      </c>
      <c r="M129" s="73">
        <f t="shared" ref="M129:M135" si="112">MIN($B129,_xlfn.XLOOKUP($A129,agnos,tope_ref_ind)*UF)*12*I129*$N$14</f>
        <v>0</v>
      </c>
      <c r="N129" s="73">
        <f t="shared" ref="N129:N135" si="113">MIN($B129,_xlfn.XLOOKUP($A129,agnos,tope_ref_ind)*UF)*12*J129*$N$14</f>
        <v>0</v>
      </c>
      <c r="O129" s="55">
        <f>Parámetros!$E116*12*I129*$P$14</f>
        <v>0</v>
      </c>
      <c r="P129" s="55">
        <f>Parámetros!$E116*12*J129*$P$14</f>
        <v>0</v>
      </c>
      <c r="Q129" s="70">
        <f t="shared" si="95"/>
        <v>0</v>
      </c>
      <c r="R129" s="70">
        <f t="shared" si="96"/>
        <v>0</v>
      </c>
      <c r="S129" s="68">
        <f t="shared" si="110"/>
        <v>0</v>
      </c>
      <c r="T129" s="68">
        <f t="shared" si="111"/>
        <v>0</v>
      </c>
      <c r="U129" s="177"/>
      <c r="V129" s="68">
        <f t="shared" si="106"/>
        <v>0</v>
      </c>
      <c r="W129" s="68">
        <f t="shared" si="107"/>
        <v>0</v>
      </c>
      <c r="X129" s="54">
        <f t="shared" si="92"/>
        <v>0</v>
      </c>
      <c r="Y129" s="54">
        <f t="shared" si="93"/>
        <v>0</v>
      </c>
      <c r="Z129" s="55">
        <f t="shared" si="108"/>
        <v>0</v>
      </c>
      <c r="AA129" s="55">
        <f t="shared" si="109"/>
        <v>0</v>
      </c>
      <c r="AB129" s="53">
        <f>D129*mmater*Parámetros!$G116*$X$5+AB128*(1+i_noc)</f>
        <v>0</v>
      </c>
      <c r="AC129" s="53">
        <f>E129*12*Parámetros!$F116*$X$5+AC128*(1+i_noc)</f>
        <v>3077368.4218119294</v>
      </c>
      <c r="AD129" s="53"/>
      <c r="AE129" s="53"/>
      <c r="AF129" s="175"/>
      <c r="AG129" s="74">
        <f t="shared" si="89"/>
        <v>0</v>
      </c>
      <c r="AH129" s="52">
        <f t="shared" si="90"/>
        <v>0</v>
      </c>
      <c r="AI129" s="56">
        <f t="shared" si="97"/>
        <v>0</v>
      </c>
      <c r="AJ129" s="56">
        <f t="shared" si="98"/>
        <v>0</v>
      </c>
      <c r="AK129" s="56"/>
      <c r="AL129" s="56"/>
      <c r="AM129" s="56"/>
      <c r="AN129" s="56"/>
      <c r="AO129" s="56">
        <f t="shared" si="99"/>
        <v>0</v>
      </c>
      <c r="AP129" s="56">
        <f t="shared" si="100"/>
        <v>0</v>
      </c>
      <c r="AQ129" s="53">
        <f t="shared" si="101"/>
        <v>0</v>
      </c>
      <c r="AR129" s="53">
        <f t="shared" si="102"/>
        <v>0</v>
      </c>
      <c r="AS129" s="39"/>
      <c r="AT129" s="68">
        <f t="shared" si="103"/>
        <v>0</v>
      </c>
      <c r="AU129" s="68">
        <f t="shared" si="104"/>
        <v>0</v>
      </c>
      <c r="AV129" s="68">
        <f t="shared" si="105"/>
        <v>0</v>
      </c>
      <c r="AW129" s="68">
        <f t="shared" si="91"/>
        <v>0</v>
      </c>
      <c r="AX129" s="39"/>
      <c r="AY129" s="39"/>
    </row>
    <row r="130" spans="1:52" x14ac:dyDescent="0.25">
      <c r="A130" s="30">
        <v>2095</v>
      </c>
      <c r="B130" s="33">
        <f>w_uf*UF*Parámetros!C117</f>
        <v>2077522.4005889776</v>
      </c>
      <c r="C130" s="30" t="str">
        <f t="shared" si="86"/>
        <v/>
      </c>
      <c r="D130" s="30">
        <f>((A130=Inputs!$C$12)*(Inputs!$D$12) + (A130=Inputs!$C$13)*(Inputs!$D$13) + (A130=Inputs!$C$14)*(Inputs!$D$14)) *(A130 &gt;= a_afil)*(A130&gt;=2024)</f>
        <v>0</v>
      </c>
      <c r="E130" s="30">
        <f>MIN(1,(A130=Inputs!$C$19)*Inputs!$D$19+(A130=Inputs!$C$20)*Inputs!$D$20+(A130=Inputs!$C$21)*Inputs!$D$21*(A130 &gt;= a_afil))</f>
        <v>0</v>
      </c>
      <c r="F130" s="30">
        <f t="shared" si="87"/>
        <v>0</v>
      </c>
      <c r="G130" s="30">
        <f t="shared" si="88"/>
        <v>0</v>
      </c>
      <c r="H130" s="30">
        <v>0.4048646092414856</v>
      </c>
      <c r="I130" s="37">
        <f t="shared" si="94"/>
        <v>0</v>
      </c>
      <c r="J130" s="37">
        <f t="shared" si="70"/>
        <v>0</v>
      </c>
      <c r="K130" s="30">
        <f>1*OR(Inputs!$D$17=$A130,Inputs!$E$17=$A130)*($E130=0)*(F130=1)</f>
        <v>0</v>
      </c>
      <c r="L130" s="30">
        <f>1*OR(Inputs!$D$17=$A130,Inputs!$E$17=$A130)*($E130=0)*(G130=1)</f>
        <v>0</v>
      </c>
      <c r="M130" s="73">
        <f t="shared" si="112"/>
        <v>0</v>
      </c>
      <c r="N130" s="73">
        <f t="shared" si="113"/>
        <v>0</v>
      </c>
      <c r="O130" s="55">
        <f>Parámetros!$E117*12*I130*$P$14</f>
        <v>0</v>
      </c>
      <c r="P130" s="55">
        <f>Parámetros!$E117*12*J130*$P$14</f>
        <v>0</v>
      </c>
      <c r="Q130" s="70">
        <f t="shared" si="95"/>
        <v>0</v>
      </c>
      <c r="R130" s="70">
        <f t="shared" si="96"/>
        <v>0</v>
      </c>
      <c r="S130" s="68">
        <f t="shared" si="110"/>
        <v>0</v>
      </c>
      <c r="T130" s="68">
        <f t="shared" si="111"/>
        <v>0</v>
      </c>
      <c r="U130" s="177"/>
      <c r="V130" s="68">
        <f t="shared" si="106"/>
        <v>0</v>
      </c>
      <c r="W130" s="68">
        <f t="shared" si="107"/>
        <v>0</v>
      </c>
      <c r="X130" s="54">
        <f t="shared" si="92"/>
        <v>0</v>
      </c>
      <c r="Y130" s="54">
        <f t="shared" si="93"/>
        <v>0</v>
      </c>
      <c r="Z130" s="55">
        <f t="shared" si="108"/>
        <v>0</v>
      </c>
      <c r="AA130" s="55">
        <f t="shared" si="109"/>
        <v>0</v>
      </c>
      <c r="AB130" s="53">
        <f>D130*mmater*Parámetros!$G117*$X$5+AB129*(1+i_noc)</f>
        <v>0</v>
      </c>
      <c r="AC130" s="53">
        <f>E130*12*Parámetros!$F117*$X$5+AC129*(1+i_noc)</f>
        <v>3138915.7902481682</v>
      </c>
      <c r="AD130" s="53"/>
      <c r="AE130" s="53"/>
      <c r="AF130" s="175"/>
      <c r="AG130" s="74">
        <f t="shared" si="89"/>
        <v>0</v>
      </c>
      <c r="AH130" s="52">
        <f t="shared" si="90"/>
        <v>0</v>
      </c>
      <c r="AI130" s="56">
        <f t="shared" si="97"/>
        <v>0</v>
      </c>
      <c r="AJ130" s="56">
        <f t="shared" si="98"/>
        <v>0</v>
      </c>
      <c r="AK130" s="56"/>
      <c r="AL130" s="56"/>
      <c r="AM130" s="56"/>
      <c r="AN130" s="56"/>
      <c r="AO130" s="56">
        <f t="shared" si="99"/>
        <v>0</v>
      </c>
      <c r="AP130" s="56">
        <f t="shared" si="100"/>
        <v>0</v>
      </c>
      <c r="AQ130" s="53">
        <f t="shared" si="101"/>
        <v>0</v>
      </c>
      <c r="AR130" s="53">
        <f t="shared" si="102"/>
        <v>0</v>
      </c>
      <c r="AS130" s="39"/>
      <c r="AT130" s="68">
        <f t="shared" si="103"/>
        <v>0</v>
      </c>
      <c r="AU130" s="68">
        <f t="shared" si="104"/>
        <v>0</v>
      </c>
      <c r="AV130" s="68">
        <f t="shared" si="105"/>
        <v>0</v>
      </c>
      <c r="AW130" s="68">
        <f t="shared" si="91"/>
        <v>0</v>
      </c>
      <c r="AX130" s="39"/>
      <c r="AY130" s="39"/>
    </row>
    <row r="131" spans="1:52" x14ac:dyDescent="0.25">
      <c r="A131" s="30">
        <v>2096</v>
      </c>
      <c r="B131" s="33">
        <f>w_uf*UF*Parámetros!C118</f>
        <v>2103491.4305963395</v>
      </c>
      <c r="C131" s="30" t="str">
        <f t="shared" si="86"/>
        <v/>
      </c>
      <c r="D131" s="30">
        <f>((A131=Inputs!$C$12)*(Inputs!$D$12) + (A131=Inputs!$C$13)*(Inputs!$D$13) + (A131=Inputs!$C$14)*(Inputs!$D$14)) *(A131 &gt;= a_afil)*(A131&gt;=2024)</f>
        <v>0</v>
      </c>
      <c r="E131" s="30">
        <f>MIN(1,(A131=Inputs!$C$19)*Inputs!$D$19+(A131=Inputs!$C$20)*Inputs!$D$20+(A131=Inputs!$C$21)*Inputs!$D$21*(A131 &gt;= a_afil))</f>
        <v>0</v>
      </c>
      <c r="F131" s="30">
        <f t="shared" si="87"/>
        <v>0</v>
      </c>
      <c r="G131" s="30">
        <f t="shared" si="88"/>
        <v>0</v>
      </c>
      <c r="H131" s="30">
        <v>0.81157135963439941</v>
      </c>
      <c r="I131" s="37">
        <f t="shared" si="94"/>
        <v>0</v>
      </c>
      <c r="J131" s="37">
        <f t="shared" si="70"/>
        <v>0</v>
      </c>
      <c r="K131" s="30">
        <f>1*OR(Inputs!$D$17=$A131,Inputs!$E$17=$A131)*($E131=0)*(F131=1)</f>
        <v>0</v>
      </c>
      <c r="L131" s="30">
        <f>1*OR(Inputs!$D$17=$A131,Inputs!$E$17=$A131)*($E131=0)*(G131=1)</f>
        <v>0</v>
      </c>
      <c r="M131" s="73">
        <f t="shared" si="112"/>
        <v>0</v>
      </c>
      <c r="N131" s="73">
        <f t="shared" si="113"/>
        <v>0</v>
      </c>
      <c r="O131" s="55">
        <f>Parámetros!$E118*12*I131*$P$14</f>
        <v>0</v>
      </c>
      <c r="P131" s="55">
        <f>Parámetros!$E118*12*J131*$P$14</f>
        <v>0</v>
      </c>
      <c r="Q131" s="70">
        <f t="shared" si="95"/>
        <v>0</v>
      </c>
      <c r="R131" s="70">
        <f t="shared" si="96"/>
        <v>0</v>
      </c>
      <c r="S131" s="68">
        <f t="shared" si="110"/>
        <v>0</v>
      </c>
      <c r="T131" s="68">
        <f t="shared" si="111"/>
        <v>0</v>
      </c>
      <c r="U131" s="177"/>
      <c r="V131" s="68">
        <f t="shared" si="106"/>
        <v>0</v>
      </c>
      <c r="W131" s="68">
        <f t="shared" si="107"/>
        <v>0</v>
      </c>
      <c r="X131" s="54">
        <f t="shared" si="92"/>
        <v>0</v>
      </c>
      <c r="Y131" s="54">
        <f t="shared" si="93"/>
        <v>0</v>
      </c>
      <c r="Z131" s="55">
        <f t="shared" si="108"/>
        <v>0</v>
      </c>
      <c r="AA131" s="55">
        <f t="shared" si="109"/>
        <v>0</v>
      </c>
      <c r="AB131" s="53">
        <f>D131*mmater*Parámetros!$G118*$X$5+AB130*(1+i_noc)</f>
        <v>0</v>
      </c>
      <c r="AC131" s="53">
        <f>E131*12*Parámetros!$F118*$X$5+AC130*(1+i_noc)</f>
        <v>3201694.1060531316</v>
      </c>
      <c r="AD131" s="53"/>
      <c r="AE131" s="53"/>
      <c r="AF131" s="175"/>
      <c r="AG131" s="74">
        <f t="shared" si="89"/>
        <v>0</v>
      </c>
      <c r="AH131" s="52">
        <f t="shared" si="90"/>
        <v>0</v>
      </c>
      <c r="AI131" s="56">
        <f t="shared" si="97"/>
        <v>0</v>
      </c>
      <c r="AJ131" s="56">
        <f t="shared" si="98"/>
        <v>0</v>
      </c>
      <c r="AK131" s="56"/>
      <c r="AL131" s="56"/>
      <c r="AM131" s="56"/>
      <c r="AN131" s="56"/>
      <c r="AO131" s="56">
        <f t="shared" si="99"/>
        <v>0</v>
      </c>
      <c r="AP131" s="56">
        <f t="shared" si="100"/>
        <v>0</v>
      </c>
      <c r="AQ131" s="53">
        <f t="shared" si="101"/>
        <v>0</v>
      </c>
      <c r="AR131" s="53">
        <f t="shared" si="102"/>
        <v>0</v>
      </c>
      <c r="AS131" s="39"/>
      <c r="AT131" s="68">
        <f t="shared" si="103"/>
        <v>0</v>
      </c>
      <c r="AU131" s="68">
        <f t="shared" si="104"/>
        <v>0</v>
      </c>
      <c r="AV131" s="68">
        <f t="shared" si="105"/>
        <v>0</v>
      </c>
      <c r="AW131" s="68">
        <f t="shared" si="91"/>
        <v>0</v>
      </c>
      <c r="AX131" s="39"/>
      <c r="AY131" s="39"/>
    </row>
    <row r="132" spans="1:52" x14ac:dyDescent="0.25">
      <c r="A132" s="30">
        <v>2097</v>
      </c>
      <c r="B132" s="33">
        <f>w_uf*UF*Parámetros!C119</f>
        <v>2129785.0734787937</v>
      </c>
      <c r="C132" s="30" t="str">
        <f t="shared" si="86"/>
        <v/>
      </c>
      <c r="D132" s="30">
        <f>((A132=Inputs!$C$12)*(Inputs!$D$12) + (A132=Inputs!$C$13)*(Inputs!$D$13) + (A132=Inputs!$C$14)*(Inputs!$D$14)) *(A132 &gt;= a_afil)*(A132&gt;=2024)</f>
        <v>0</v>
      </c>
      <c r="E132" s="30">
        <f>MIN(1,(A132=Inputs!$C$19)*Inputs!$D$19+(A132=Inputs!$C$20)*Inputs!$D$20+(A132=Inputs!$C$21)*Inputs!$D$21*(A132 &gt;= a_afil))</f>
        <v>0</v>
      </c>
      <c r="F132" s="30">
        <f t="shared" si="87"/>
        <v>0</v>
      </c>
      <c r="G132" s="30">
        <f t="shared" si="88"/>
        <v>0</v>
      </c>
      <c r="H132" s="30">
        <v>0.74178069829940796</v>
      </c>
      <c r="I132" s="37">
        <f t="shared" si="94"/>
        <v>0</v>
      </c>
      <c r="J132" s="37">
        <f t="shared" si="70"/>
        <v>0</v>
      </c>
      <c r="K132" s="30">
        <f>1*OR(Inputs!$D$17=$A132,Inputs!$E$17=$A132)*($E132=0)*(F132=1)</f>
        <v>0</v>
      </c>
      <c r="L132" s="30">
        <f>1*OR(Inputs!$D$17=$A132,Inputs!$E$17=$A132)*($E132=0)*(G132=1)</f>
        <v>0</v>
      </c>
      <c r="M132" s="73">
        <f t="shared" si="112"/>
        <v>0</v>
      </c>
      <c r="N132" s="73">
        <f t="shared" si="113"/>
        <v>0</v>
      </c>
      <c r="O132" s="55">
        <f>Parámetros!$E119*12*I132*$P$14</f>
        <v>0</v>
      </c>
      <c r="P132" s="55">
        <f>Parámetros!$E119*12*J132*$P$14</f>
        <v>0</v>
      </c>
      <c r="Q132" s="70">
        <f t="shared" si="95"/>
        <v>0</v>
      </c>
      <c r="R132" s="70">
        <f t="shared" si="96"/>
        <v>0</v>
      </c>
      <c r="S132" s="68">
        <f t="shared" si="110"/>
        <v>0</v>
      </c>
      <c r="T132" s="68">
        <f t="shared" si="111"/>
        <v>0</v>
      </c>
      <c r="U132" s="177"/>
      <c r="V132" s="68">
        <f t="shared" si="106"/>
        <v>0</v>
      </c>
      <c r="W132" s="68">
        <f t="shared" si="107"/>
        <v>0</v>
      </c>
      <c r="X132" s="54">
        <f t="shared" si="92"/>
        <v>0</v>
      </c>
      <c r="Y132" s="54">
        <f t="shared" si="93"/>
        <v>0</v>
      </c>
      <c r="Z132" s="55">
        <f t="shared" si="108"/>
        <v>0</v>
      </c>
      <c r="AA132" s="55">
        <f t="shared" si="109"/>
        <v>0</v>
      </c>
      <c r="AB132" s="53">
        <f>D132*mmater*Parámetros!$G119*$X$5+AB131*(1+i_noc)</f>
        <v>0</v>
      </c>
      <c r="AC132" s="53">
        <f>E132*12*Parámetros!$F119*$X$5+AC131*(1+i_noc)</f>
        <v>3265727.9881741945</v>
      </c>
      <c r="AD132" s="53"/>
      <c r="AE132" s="53"/>
      <c r="AF132" s="175"/>
      <c r="AG132" s="74">
        <f t="shared" si="89"/>
        <v>0</v>
      </c>
      <c r="AH132" s="52">
        <f t="shared" si="90"/>
        <v>0</v>
      </c>
      <c r="AI132" s="56">
        <f t="shared" si="97"/>
        <v>0</v>
      </c>
      <c r="AJ132" s="56">
        <f t="shared" si="98"/>
        <v>0</v>
      </c>
      <c r="AK132" s="56"/>
      <c r="AL132" s="56"/>
      <c r="AM132" s="56"/>
      <c r="AN132" s="56"/>
      <c r="AO132" s="56">
        <f t="shared" si="99"/>
        <v>0</v>
      </c>
      <c r="AP132" s="56">
        <f t="shared" si="100"/>
        <v>0</v>
      </c>
      <c r="AQ132" s="53">
        <f t="shared" si="101"/>
        <v>0</v>
      </c>
      <c r="AR132" s="53">
        <f t="shared" si="102"/>
        <v>0</v>
      </c>
      <c r="AS132" s="39"/>
      <c r="AT132" s="68">
        <f t="shared" si="103"/>
        <v>0</v>
      </c>
      <c r="AU132" s="68">
        <f t="shared" si="104"/>
        <v>0</v>
      </c>
      <c r="AV132" s="68">
        <f t="shared" si="105"/>
        <v>0</v>
      </c>
      <c r="AW132" s="68">
        <f t="shared" si="91"/>
        <v>0</v>
      </c>
      <c r="AX132" s="39"/>
      <c r="AY132" s="39"/>
    </row>
    <row r="133" spans="1:52" x14ac:dyDescent="0.25">
      <c r="A133" s="30">
        <v>2098</v>
      </c>
      <c r="B133" s="33">
        <f>w_uf*UF*Parámetros!C120</f>
        <v>2156407.3868972789</v>
      </c>
      <c r="C133" s="30" t="str">
        <f t="shared" si="86"/>
        <v/>
      </c>
      <c r="D133" s="30">
        <f>((A133=Inputs!$C$12)*(Inputs!$D$12) + (A133=Inputs!$C$13)*(Inputs!$D$13) + (A133=Inputs!$C$14)*(Inputs!$D$14)) *(A133 &gt;= a_afil)*(A133&gt;=2024)</f>
        <v>0</v>
      </c>
      <c r="E133" s="30">
        <f>MIN(1,(A133=Inputs!$C$19)*Inputs!$D$19+(A133=Inputs!$C$20)*Inputs!$D$20+(A133=Inputs!$C$21)*Inputs!$D$21*(A133 &gt;= a_afil))</f>
        <v>0</v>
      </c>
      <c r="F133" s="30">
        <f t="shared" si="87"/>
        <v>0</v>
      </c>
      <c r="G133" s="30">
        <f t="shared" si="88"/>
        <v>0</v>
      </c>
      <c r="H133" s="30">
        <v>0.43766391277313232</v>
      </c>
      <c r="I133" s="37">
        <f t="shared" si="94"/>
        <v>0</v>
      </c>
      <c r="J133" s="37">
        <f t="shared" si="70"/>
        <v>0</v>
      </c>
      <c r="K133" s="30">
        <f>1*OR(Inputs!$D$17=$A133,Inputs!$E$17=$A133)*($E133=0)*(F133=1)</f>
        <v>0</v>
      </c>
      <c r="L133" s="30">
        <f>1*OR(Inputs!$D$17=$A133,Inputs!$E$17=$A133)*($E133=0)*(G133=1)</f>
        <v>0</v>
      </c>
      <c r="M133" s="73">
        <f t="shared" si="112"/>
        <v>0</v>
      </c>
      <c r="N133" s="73">
        <f t="shared" si="113"/>
        <v>0</v>
      </c>
      <c r="O133" s="55">
        <f>Parámetros!$E120*12*I133*$P$14</f>
        <v>0</v>
      </c>
      <c r="P133" s="55">
        <f>Parámetros!$E120*12*J133*$P$14</f>
        <v>0</v>
      </c>
      <c r="Q133" s="70">
        <f t="shared" si="95"/>
        <v>0</v>
      </c>
      <c r="R133" s="70">
        <f t="shared" si="96"/>
        <v>0</v>
      </c>
      <c r="S133" s="68">
        <f t="shared" si="110"/>
        <v>0</v>
      </c>
      <c r="T133" s="68">
        <f t="shared" si="111"/>
        <v>0</v>
      </c>
      <c r="U133" s="177"/>
      <c r="V133" s="68">
        <f t="shared" si="106"/>
        <v>0</v>
      </c>
      <c r="W133" s="68">
        <f t="shared" si="107"/>
        <v>0</v>
      </c>
      <c r="X133" s="54">
        <f t="shared" si="92"/>
        <v>0</v>
      </c>
      <c r="Y133" s="54">
        <f t="shared" si="93"/>
        <v>0</v>
      </c>
      <c r="Z133" s="55">
        <f t="shared" si="108"/>
        <v>0</v>
      </c>
      <c r="AA133" s="55">
        <f t="shared" si="109"/>
        <v>0</v>
      </c>
      <c r="AB133" s="53">
        <f>D133*mmater*Parámetros!$G120*$X$5+AB132*(1+i_noc)</f>
        <v>0</v>
      </c>
      <c r="AC133" s="53">
        <f>E133*12*Parámetros!$F120*$X$5+AC132*(1+i_noc)</f>
        <v>3331042.5479376786</v>
      </c>
      <c r="AD133" s="53"/>
      <c r="AE133" s="53"/>
      <c r="AF133" s="175"/>
      <c r="AG133" s="74">
        <f t="shared" si="89"/>
        <v>0</v>
      </c>
      <c r="AH133" s="52">
        <f t="shared" si="90"/>
        <v>0</v>
      </c>
      <c r="AI133" s="56">
        <f t="shared" si="97"/>
        <v>0</v>
      </c>
      <c r="AJ133" s="56">
        <f t="shared" si="98"/>
        <v>0</v>
      </c>
      <c r="AK133" s="56"/>
      <c r="AL133" s="56"/>
      <c r="AM133" s="56"/>
      <c r="AN133" s="56"/>
      <c r="AO133" s="56">
        <f t="shared" si="99"/>
        <v>0</v>
      </c>
      <c r="AP133" s="56">
        <f t="shared" si="100"/>
        <v>0</v>
      </c>
      <c r="AQ133" s="53">
        <f t="shared" si="101"/>
        <v>0</v>
      </c>
      <c r="AR133" s="53">
        <f t="shared" si="102"/>
        <v>0</v>
      </c>
      <c r="AS133" s="39"/>
      <c r="AT133" s="68">
        <f t="shared" si="103"/>
        <v>0</v>
      </c>
      <c r="AU133" s="68">
        <f t="shared" si="104"/>
        <v>0</v>
      </c>
      <c r="AV133" s="68">
        <f t="shared" si="105"/>
        <v>0</v>
      </c>
      <c r="AW133" s="68">
        <f t="shared" si="91"/>
        <v>0</v>
      </c>
      <c r="AX133" s="39"/>
      <c r="AY133" s="39"/>
    </row>
    <row r="134" spans="1:52" x14ac:dyDescent="0.25">
      <c r="A134" s="30">
        <v>2099</v>
      </c>
      <c r="B134" s="33">
        <f>w_uf*UF*Parámetros!C121</f>
        <v>2183362.4792334945</v>
      </c>
      <c r="C134" s="30" t="str">
        <f t="shared" si="86"/>
        <v/>
      </c>
      <c r="D134" s="30">
        <f>((A134=Inputs!$C$12)*(Inputs!$D$12) + (A134=Inputs!$C$13)*(Inputs!$D$13) + (A134=Inputs!$C$14)*(Inputs!$D$14)) *(A134 &gt;= a_afil)*(A134&gt;=2024)</f>
        <v>0</v>
      </c>
      <c r="E134" s="30">
        <f>MIN(1,(A134=Inputs!$C$19)*Inputs!$D$19+(A134=Inputs!$C$20)*Inputs!$D$20+(A134=Inputs!$C$21)*Inputs!$D$21*(A134 &gt;= a_afil))</f>
        <v>0</v>
      </c>
      <c r="F134" s="30">
        <f t="shared" si="87"/>
        <v>0</v>
      </c>
      <c r="G134" s="30">
        <f t="shared" si="88"/>
        <v>0</v>
      </c>
      <c r="H134" s="30">
        <v>7.7980577945709229E-2</v>
      </c>
      <c r="I134" s="37">
        <f t="shared" si="94"/>
        <v>0</v>
      </c>
      <c r="J134" s="37">
        <f t="shared" si="70"/>
        <v>0</v>
      </c>
      <c r="K134" s="30">
        <f>1*OR(Inputs!$D$17=$A134,Inputs!$E$17=$A134)*($E134=0)*(F134=1)</f>
        <v>0</v>
      </c>
      <c r="L134" s="30">
        <f>1*OR(Inputs!$D$17=$A134,Inputs!$E$17=$A134)*($E134=0)*(G134=1)</f>
        <v>0</v>
      </c>
      <c r="M134" s="73">
        <f t="shared" si="112"/>
        <v>0</v>
      </c>
      <c r="N134" s="73">
        <f t="shared" si="113"/>
        <v>0</v>
      </c>
      <c r="O134" s="55">
        <f>Parámetros!$E121*12*I134*$P$14</f>
        <v>0</v>
      </c>
      <c r="P134" s="55">
        <f>Parámetros!$E121*12*J134*$P$14</f>
        <v>0</v>
      </c>
      <c r="Q134" s="70">
        <f t="shared" si="95"/>
        <v>0</v>
      </c>
      <c r="R134" s="70">
        <f t="shared" si="96"/>
        <v>0</v>
      </c>
      <c r="S134" s="68">
        <f t="shared" si="110"/>
        <v>0</v>
      </c>
      <c r="T134" s="68">
        <f t="shared" si="111"/>
        <v>0</v>
      </c>
      <c r="U134" s="177"/>
      <c r="V134" s="68">
        <f t="shared" si="106"/>
        <v>0</v>
      </c>
      <c r="W134" s="68">
        <f t="shared" si="107"/>
        <v>0</v>
      </c>
      <c r="X134" s="54">
        <f t="shared" si="92"/>
        <v>0</v>
      </c>
      <c r="Y134" s="54">
        <f t="shared" si="93"/>
        <v>0</v>
      </c>
      <c r="Z134" s="55">
        <f t="shared" si="108"/>
        <v>0</v>
      </c>
      <c r="AA134" s="55">
        <f t="shared" si="109"/>
        <v>0</v>
      </c>
      <c r="AB134" s="53">
        <f>D134*mmater*Parámetros!$G121*$X$5+AB133*(1+i_noc)</f>
        <v>0</v>
      </c>
      <c r="AC134" s="53">
        <f>E134*12*Parámetros!$F121*$X$5+AC133*(1+i_noc)</f>
        <v>3397663.3988964325</v>
      </c>
      <c r="AD134" s="53"/>
      <c r="AE134" s="53"/>
      <c r="AF134" s="175"/>
      <c r="AG134" s="74">
        <f t="shared" si="89"/>
        <v>0</v>
      </c>
      <c r="AH134" s="52">
        <f t="shared" si="90"/>
        <v>0</v>
      </c>
      <c r="AI134" s="56">
        <f t="shared" si="97"/>
        <v>0</v>
      </c>
      <c r="AJ134" s="56">
        <f t="shared" si="98"/>
        <v>0</v>
      </c>
      <c r="AK134" s="56"/>
      <c r="AL134" s="56"/>
      <c r="AM134" s="56"/>
      <c r="AN134" s="56"/>
      <c r="AO134" s="56">
        <f t="shared" si="99"/>
        <v>0</v>
      </c>
      <c r="AP134" s="56">
        <f t="shared" si="100"/>
        <v>0</v>
      </c>
      <c r="AQ134" s="53">
        <f t="shared" si="101"/>
        <v>0</v>
      </c>
      <c r="AR134" s="53">
        <f t="shared" si="102"/>
        <v>0</v>
      </c>
      <c r="AS134" s="39"/>
      <c r="AT134" s="68">
        <f t="shared" si="103"/>
        <v>0</v>
      </c>
      <c r="AU134" s="68">
        <f t="shared" si="104"/>
        <v>0</v>
      </c>
      <c r="AV134" s="68">
        <f t="shared" si="105"/>
        <v>0</v>
      </c>
      <c r="AW134" s="68">
        <f t="shared" si="91"/>
        <v>0</v>
      </c>
      <c r="AX134" s="39"/>
      <c r="AY134" s="39"/>
    </row>
    <row r="135" spans="1:52" x14ac:dyDescent="0.25">
      <c r="A135" s="30">
        <v>2100</v>
      </c>
      <c r="B135" s="33">
        <f>w_uf*UF*Parámetros!C122</f>
        <v>2210654.510223913</v>
      </c>
      <c r="C135" s="30" t="str">
        <f t="shared" si="86"/>
        <v/>
      </c>
      <c r="D135" s="30">
        <f>((A135=Inputs!$C$12)*(Inputs!$D$12) + (A135=Inputs!$C$13)*(Inputs!$D$13) + (A135=Inputs!$C$14)*(Inputs!$D$14)) *(A135 &gt;= a_afil)*(A135&gt;=2024)</f>
        <v>0</v>
      </c>
      <c r="E135" s="30">
        <f>MIN(1,(A135=Inputs!$C$19)*Inputs!$D$19+(A135=Inputs!$C$20)*Inputs!$D$20+(A135=Inputs!$C$21)*Inputs!$D$21*(A135 &gt;= a_afil))</f>
        <v>0</v>
      </c>
      <c r="F135" s="30">
        <f xml:space="preserve"> (C135&lt;edad_ret_h) * (A135&gt;=a_afil)</f>
        <v>0</v>
      </c>
      <c r="G135" s="30">
        <f xml:space="preserve"> (C135&lt;edad_ret_m) * (A135&gt;=a_afil)</f>
        <v>0</v>
      </c>
      <c r="H135" s="30">
        <v>0.41063165664672852</v>
      </c>
      <c r="I135" s="37">
        <f>IF(F135=1,+dens_cot,0)</f>
        <v>0</v>
      </c>
      <c r="J135" s="37">
        <f>IF(G135=1,+dens_mujer,0)</f>
        <v>0</v>
      </c>
      <c r="K135" s="30">
        <f>1*OR(Inputs!$D$17=$A135,Inputs!$E$17=$A135)*($E135=0)*(F135=1)</f>
        <v>0</v>
      </c>
      <c r="L135" s="30">
        <f>1*OR(Inputs!$D$17=$A135,Inputs!$E$17=$A135)*($E135=0)*(G135=1)</f>
        <v>0</v>
      </c>
      <c r="M135" s="73">
        <f t="shared" si="112"/>
        <v>0</v>
      </c>
      <c r="N135" s="73">
        <f t="shared" si="113"/>
        <v>0</v>
      </c>
      <c r="O135" s="55">
        <f>Parámetros!$E122*12*I135*$P$14</f>
        <v>0</v>
      </c>
      <c r="P135" s="55">
        <f>Parámetros!$E122*12*J135*$P$14</f>
        <v>0</v>
      </c>
      <c r="Q135" s="70">
        <f t="shared" si="95"/>
        <v>0</v>
      </c>
      <c r="R135" s="70">
        <f t="shared" si="96"/>
        <v>0</v>
      </c>
      <c r="S135" s="68">
        <f t="shared" si="110"/>
        <v>0</v>
      </c>
      <c r="T135" s="68">
        <f t="shared" si="111"/>
        <v>0</v>
      </c>
      <c r="U135" s="177"/>
      <c r="V135" s="68">
        <f t="shared" si="106"/>
        <v>0</v>
      </c>
      <c r="W135" s="68">
        <f t="shared" si="107"/>
        <v>0</v>
      </c>
      <c r="X135" s="54">
        <f t="shared" si="92"/>
        <v>0</v>
      </c>
      <c r="Y135" s="54">
        <f t="shared" si="93"/>
        <v>0</v>
      </c>
      <c r="Z135" s="55">
        <f t="shared" si="108"/>
        <v>0</v>
      </c>
      <c r="AA135" s="55">
        <f t="shared" si="109"/>
        <v>0</v>
      </c>
      <c r="AB135" s="53">
        <f>D135*mmater*Parámetros!$G122*$X$5+AB134*(1+i_noc)</f>
        <v>0</v>
      </c>
      <c r="AC135" s="53">
        <f>E135*12*Parámetros!$F122*$X$5+AC134*(1+i_noc)</f>
        <v>3465616.6668743612</v>
      </c>
      <c r="AD135" s="53"/>
      <c r="AE135" s="53"/>
      <c r="AF135" s="175"/>
      <c r="AG135" s="74">
        <f t="shared" si="89"/>
        <v>0</v>
      </c>
      <c r="AH135" s="52">
        <f t="shared" si="90"/>
        <v>0</v>
      </c>
      <c r="AI135" s="56">
        <f t="shared" si="97"/>
        <v>0</v>
      </c>
      <c r="AJ135" s="56">
        <f t="shared" si="98"/>
        <v>0</v>
      </c>
      <c r="AK135" s="56"/>
      <c r="AL135" s="56"/>
      <c r="AM135" s="56"/>
      <c r="AN135" s="56"/>
      <c r="AO135" s="56">
        <f t="shared" si="99"/>
        <v>0</v>
      </c>
      <c r="AP135" s="56">
        <f t="shared" si="100"/>
        <v>0</v>
      </c>
      <c r="AQ135" s="53">
        <f t="shared" si="101"/>
        <v>0</v>
      </c>
      <c r="AR135" s="53">
        <f t="shared" si="102"/>
        <v>0</v>
      </c>
      <c r="AS135" s="39"/>
      <c r="AT135" s="68">
        <f t="shared" si="103"/>
        <v>0</v>
      </c>
      <c r="AU135" s="68">
        <f t="shared" si="104"/>
        <v>0</v>
      </c>
      <c r="AV135" s="68">
        <f t="shared" si="105"/>
        <v>0</v>
      </c>
      <c r="AW135" s="68">
        <f t="shared" si="91"/>
        <v>0</v>
      </c>
      <c r="AX135" s="39"/>
      <c r="AY135" s="39"/>
    </row>
    <row r="136" spans="1:52" x14ac:dyDescent="0.25">
      <c r="AG136" s="33"/>
      <c r="AH136" s="33"/>
      <c r="AI136" s="33"/>
      <c r="AJ136" s="33"/>
      <c r="AK136" s="96"/>
      <c r="AL136" s="30"/>
      <c r="AM136" s="30"/>
      <c r="AN136" s="30"/>
      <c r="AO136" s="30"/>
      <c r="AP136" s="30"/>
    </row>
    <row r="137" spans="1:52" x14ac:dyDescent="0.25">
      <c r="AI137" s="33"/>
      <c r="AJ137" s="33"/>
      <c r="AO137" s="30"/>
      <c r="AP137" s="30"/>
    </row>
    <row r="138" spans="1:52" x14ac:dyDescent="0.25">
      <c r="AQ138" s="65"/>
    </row>
    <row r="139" spans="1:52" x14ac:dyDescent="0.25">
      <c r="AQ139" s="65"/>
    </row>
    <row r="140" spans="1:52" x14ac:dyDescent="0.25">
      <c r="AQ140" s="38"/>
    </row>
    <row r="141" spans="1:52" x14ac:dyDescent="0.25"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</row>
    <row r="142" spans="1:52" x14ac:dyDescent="0.25"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</row>
    <row r="143" spans="1:52" x14ac:dyDescent="0.25"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</row>
    <row r="144" spans="1:52" x14ac:dyDescent="0.25">
      <c r="AK144" s="184"/>
      <c r="AL144" s="184"/>
      <c r="AM144" s="184"/>
      <c r="AN144" s="184"/>
      <c r="AO144" s="184"/>
      <c r="AP144" s="184"/>
      <c r="AQ144" s="184"/>
      <c r="AR144" s="184"/>
      <c r="AS144" s="184"/>
      <c r="AT144" s="184"/>
      <c r="AU144" s="184"/>
      <c r="AV144" s="184"/>
      <c r="AW144" s="184"/>
      <c r="AX144" s="184"/>
      <c r="AY144" s="184"/>
      <c r="AZ144" s="184"/>
    </row>
    <row r="145" spans="37:52" x14ac:dyDescent="0.25"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</row>
    <row r="146" spans="37:52" x14ac:dyDescent="0.25"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</row>
    <row r="147" spans="37:52" x14ac:dyDescent="0.25"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</row>
    <row r="148" spans="37:52" x14ac:dyDescent="0.25"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</row>
    <row r="150" spans="37:52" x14ac:dyDescent="0.25">
      <c r="AQ150" s="65"/>
    </row>
  </sheetData>
  <sheetProtection formatCells="0" formatColumns="0" formatRows="0" deleteColumns="0" deleteRows="0"/>
  <protectedRanges>
    <protectedRange sqref="H16:H135" name="Rango2_1"/>
  </protectedRanges>
  <mergeCells count="28">
    <mergeCell ref="AQ13:AR14"/>
    <mergeCell ref="AT13:AU14"/>
    <mergeCell ref="AV13:AW14"/>
    <mergeCell ref="AQ1:AQ2"/>
    <mergeCell ref="AO13:AO14"/>
    <mergeCell ref="AP13:AP14"/>
    <mergeCell ref="A12:A15"/>
    <mergeCell ref="I13:J14"/>
    <mergeCell ref="AC13:AC14"/>
    <mergeCell ref="K13:L14"/>
    <mergeCell ref="M13:N13"/>
    <mergeCell ref="O13:P13"/>
    <mergeCell ref="Q13:R14"/>
    <mergeCell ref="S13:T14"/>
    <mergeCell ref="V13:W13"/>
    <mergeCell ref="X13:Y14"/>
    <mergeCell ref="Z13:AA14"/>
    <mergeCell ref="AB13:AB14"/>
    <mergeCell ref="C13:C15"/>
    <mergeCell ref="D13:E14"/>
    <mergeCell ref="B13:B15"/>
    <mergeCell ref="AK13:AL14"/>
    <mergeCell ref="AM13:AN14"/>
    <mergeCell ref="F13:G14"/>
    <mergeCell ref="H13:H15"/>
    <mergeCell ref="AG12:AH14"/>
    <mergeCell ref="AI12:AJ14"/>
    <mergeCell ref="AD13:AE14"/>
  </mergeCells>
  <phoneticPr fontId="22" type="noConversion"/>
  <conditionalFormatting sqref="D16:E135 K16:L135">
    <cfRule type="cellIs" dxfId="9" priority="1" operator="equal">
      <formula>1</formula>
    </cfRule>
  </conditionalFormatting>
  <conditionalFormatting sqref="AK9:AN9">
    <cfRule type="expression" dxfId="8" priority="3">
      <formula>AK9&lt;&gt;SUM(AK3:AK8)</formula>
    </cfRule>
  </conditionalFormatting>
  <conditionalFormatting sqref="AO9:AP9">
    <cfRule type="expression" dxfId="7" priority="2">
      <formula>AO9&gt;tope_garantia</formula>
    </cfRule>
  </conditionalFormatting>
  <hyperlinks>
    <hyperlink ref="AA6" location="'Variables externas'!AQ1" display="(ir a tabla de factores)" xr:uid="{39CCF911-2254-45CA-9F2C-6355346F7CAB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FC0C1-30A4-4036-B597-6AB6C7695A37}">
  <sheetPr codeName="Hoja17">
    <tabColor theme="8" tint="0.79998168889431442"/>
  </sheetPr>
  <dimension ref="A1:BC148"/>
  <sheetViews>
    <sheetView zoomScale="85" zoomScaleNormal="85" workbookViewId="0">
      <pane xSplit="3" ySplit="15" topLeftCell="D16" activePane="bottomRight" state="frozen"/>
      <selection pane="topRight"/>
      <selection pane="bottomLeft"/>
      <selection pane="bottomRight"/>
    </sheetView>
  </sheetViews>
  <sheetFormatPr baseColWidth="10" defaultColWidth="4.28515625" defaultRowHeight="15" x14ac:dyDescent="0.25"/>
  <cols>
    <col min="1" max="1" width="8.5703125" style="30" customWidth="1"/>
    <col min="2" max="2" width="14.28515625" style="30" customWidth="1"/>
    <col min="3" max="3" width="4.28515625" style="30" customWidth="1"/>
    <col min="4" max="5" width="7.42578125" style="30" customWidth="1"/>
    <col min="6" max="12" width="6.28515625" style="30" customWidth="1"/>
    <col min="13" max="20" width="10.7109375" style="30" customWidth="1"/>
    <col min="21" max="21" width="4.140625" style="30" customWidth="1"/>
    <col min="22" max="31" width="12.140625" style="30" customWidth="1"/>
    <col min="32" max="32" width="12" style="30" customWidth="1"/>
    <col min="33" max="36" width="10.7109375" style="30" customWidth="1"/>
    <col min="37" max="42" width="10.7109375" style="33" customWidth="1"/>
    <col min="43" max="47" width="10.7109375" style="30" customWidth="1"/>
    <col min="48" max="48" width="12.7109375" style="30" bestFit="1" customWidth="1"/>
    <col min="49" max="52" width="10.7109375" style="30" customWidth="1"/>
    <col min="53" max="53" width="23" style="30" bestFit="1" customWidth="1"/>
    <col min="54" max="55" width="10.7109375" style="30" customWidth="1"/>
    <col min="56" max="59" width="5.7109375" style="30" customWidth="1"/>
    <col min="60" max="16384" width="4.28515625" style="30"/>
  </cols>
  <sheetData>
    <row r="1" spans="1:55" ht="32.25" customHeight="1" thickBot="1" x14ac:dyDescent="0.3">
      <c r="B1" s="34"/>
      <c r="C1" s="34"/>
      <c r="D1" s="34"/>
      <c r="E1" s="34"/>
      <c r="F1" s="34"/>
      <c r="G1" s="34"/>
      <c r="H1" s="34"/>
      <c r="I1" s="34"/>
      <c r="J1" s="34"/>
      <c r="K1" s="34"/>
      <c r="L1" s="96"/>
      <c r="M1" s="96"/>
      <c r="N1" s="96"/>
      <c r="O1" s="96"/>
      <c r="R1" s="85"/>
      <c r="X1" s="40"/>
      <c r="AC1" s="289" t="s">
        <v>252</v>
      </c>
      <c r="AD1" s="290"/>
      <c r="AE1" s="290"/>
      <c r="AF1" s="291"/>
      <c r="AI1" s="32"/>
      <c r="AJ1" s="323" t="s">
        <v>284</v>
      </c>
      <c r="AK1" s="321" t="s">
        <v>286</v>
      </c>
      <c r="AL1" s="322"/>
      <c r="AM1" s="321" t="s">
        <v>115</v>
      </c>
      <c r="AN1" s="322"/>
      <c r="AO1" s="321" t="s">
        <v>287</v>
      </c>
      <c r="AP1" s="322"/>
      <c r="AQ1" s="413" t="s">
        <v>285</v>
      </c>
      <c r="AR1" s="321" t="s">
        <v>288</v>
      </c>
      <c r="AS1" s="322"/>
      <c r="BA1" s="196"/>
      <c r="BB1" s="196" t="s">
        <v>110</v>
      </c>
      <c r="BC1" s="196" t="s">
        <v>111</v>
      </c>
    </row>
    <row r="2" spans="1:55" ht="15" customHeight="1" x14ac:dyDescent="0.25">
      <c r="B2" s="34"/>
      <c r="C2" s="34"/>
      <c r="D2" s="34"/>
      <c r="E2" s="34"/>
      <c r="F2" s="34"/>
      <c r="G2" s="34"/>
      <c r="H2" s="34"/>
      <c r="I2" s="34"/>
      <c r="J2" s="34"/>
      <c r="K2" s="34"/>
      <c r="L2" s="105"/>
      <c r="M2" s="105"/>
      <c r="N2" s="105"/>
      <c r="S2" s="85"/>
      <c r="V2" s="30" t="s">
        <v>162</v>
      </c>
      <c r="X2" s="166">
        <v>0.1</v>
      </c>
      <c r="Y2" s="30" t="s">
        <v>269</v>
      </c>
      <c r="AC2" s="33"/>
      <c r="AD2" s="33"/>
      <c r="AE2" s="57" t="s">
        <v>110</v>
      </c>
      <c r="AF2" s="32" t="s">
        <v>111</v>
      </c>
      <c r="AH2" s="136"/>
      <c r="AI2" s="324" t="s">
        <v>223</v>
      </c>
      <c r="AJ2" s="325" t="s">
        <v>222</v>
      </c>
      <c r="AK2" s="237" t="s">
        <v>165</v>
      </c>
      <c r="AL2" s="238" t="s">
        <v>166</v>
      </c>
      <c r="AM2" s="237" t="s">
        <v>165</v>
      </c>
      <c r="AN2" s="238" t="s">
        <v>166</v>
      </c>
      <c r="AO2" s="237" t="s">
        <v>165</v>
      </c>
      <c r="AP2" s="238" t="s">
        <v>166</v>
      </c>
      <c r="AQ2" s="414"/>
      <c r="AR2" s="237" t="s">
        <v>165</v>
      </c>
      <c r="AS2" s="238" t="s">
        <v>166</v>
      </c>
      <c r="BA2" s="65" t="str" cm="1">
        <f t="array" ref="BA2:BA10">beneficios</f>
        <v>PAFE (10%)</v>
      </c>
      <c r="BB2" s="320">
        <f>ROUND(AG$11,0)</f>
        <v>249562</v>
      </c>
      <c r="BC2" s="320">
        <f>ROUND(AH$11,0)</f>
        <v>222429</v>
      </c>
    </row>
    <row r="3" spans="1:55" ht="15" customHeight="1" x14ac:dyDescent="0.25">
      <c r="B3" s="34"/>
      <c r="C3" s="34"/>
      <c r="D3" s="34"/>
      <c r="E3" s="34"/>
      <c r="F3" s="34"/>
      <c r="G3" s="34"/>
      <c r="H3" s="34"/>
      <c r="I3" s="34"/>
      <c r="J3" s="34"/>
      <c r="K3" s="34"/>
      <c r="L3" s="71"/>
      <c r="M3" s="84"/>
      <c r="N3" s="85"/>
      <c r="O3" s="85"/>
      <c r="P3" s="85"/>
      <c r="Q3" s="85"/>
      <c r="R3" s="85"/>
      <c r="S3" s="85"/>
      <c r="V3" s="30" t="s">
        <v>162</v>
      </c>
      <c r="X3" s="166">
        <f>X2+0.5%</f>
        <v>0.10500000000000001</v>
      </c>
      <c r="Y3" s="47" t="s">
        <v>270</v>
      </c>
      <c r="AC3" s="30" t="s">
        <v>254</v>
      </c>
      <c r="AD3" s="33"/>
      <c r="AE3" s="33" cm="1">
        <f t="array" ref="AE3:AF3">edad_pafe</f>
        <v>65</v>
      </c>
      <c r="AF3" s="33">
        <v>60</v>
      </c>
      <c r="AH3" s="233" t="s">
        <v>112</v>
      </c>
      <c r="AI3" s="65">
        <v>1981</v>
      </c>
      <c r="AJ3" s="234">
        <v>2023</v>
      </c>
      <c r="AK3" s="235">
        <f t="shared" ref="AK3:AL8" si="0">SUMIFS(F$16:F$135,$A$16:$A$135,"&gt;="&amp;$AI3,$A$16:$A$135,"&lt;="&amp;$AJ3)</f>
        <v>21</v>
      </c>
      <c r="AL3" s="236">
        <f t="shared" si="0"/>
        <v>21</v>
      </c>
      <c r="AM3" s="235">
        <f t="shared" ref="AM3:AM9" si="1">AK3*dens_cot</f>
        <v>12.18</v>
      </c>
      <c r="AN3" s="236">
        <f t="shared" ref="AN3:AN9" si="2">AL3*dens_mujer</f>
        <v>12.18</v>
      </c>
      <c r="AO3" s="235">
        <f>_xlfn.LET(_xlpm.s,SUM(AO4:AO$8),MIN(tope_garantia-_xlpm.s,AM3))</f>
        <v>12.18</v>
      </c>
      <c r="AP3" s="236">
        <f>_xlfn.LET(_xlpm.s,SUM(AP4:AP$8),MIN(tope_garantia-_xlpm.s,AN3))</f>
        <v>12.18</v>
      </c>
      <c r="AQ3" s="241">
        <f t="shared" ref="AQ3:AQ8" si="3">_xlfn.XLOOKUP(AI3,agnos,gar_agno)</f>
        <v>0.1</v>
      </c>
      <c r="AR3" s="235">
        <f t="shared" ref="AR3:AS8" si="4">AO3*$AQ3</f>
        <v>1.218</v>
      </c>
      <c r="AS3" s="236">
        <f t="shared" si="4"/>
        <v>1.218</v>
      </c>
      <c r="BA3" s="30" t="str">
        <v>PAFE (CCICO reforma)</v>
      </c>
      <c r="BB3" s="38">
        <f>ROUND(AI$11,0)</f>
        <v>276353</v>
      </c>
      <c r="BC3" s="38">
        <f>ROUND(AJ$11,0)</f>
        <v>246307</v>
      </c>
    </row>
    <row r="4" spans="1:55" x14ac:dyDescent="0.25">
      <c r="B4" s="34"/>
      <c r="C4" s="34"/>
      <c r="D4" s="34"/>
      <c r="E4" s="34"/>
      <c r="F4" s="34"/>
      <c r="G4" s="34"/>
      <c r="H4" s="34"/>
      <c r="I4" s="34"/>
      <c r="J4" s="34"/>
      <c r="K4" s="34"/>
      <c r="L4" s="71"/>
      <c r="M4" s="84"/>
      <c r="N4" s="85"/>
      <c r="O4" s="85"/>
      <c r="P4" s="85"/>
      <c r="Q4" s="85"/>
      <c r="R4" s="85"/>
      <c r="S4" s="85"/>
      <c r="V4" s="30" t="s">
        <v>219</v>
      </c>
      <c r="X4" s="41">
        <v>0.03</v>
      </c>
      <c r="Y4" s="47"/>
      <c r="AC4" s="47" t="s">
        <v>211</v>
      </c>
      <c r="AD4" s="45"/>
      <c r="AE4" s="255">
        <f>_xlfn.XLOOKUP(AE3,$C$16:$C$135,X$16:X$135)/(12*_xlfn.XLOOKUP(AE$2,sexo_cnu,cnu_elp))</f>
        <v>249562.18907357016</v>
      </c>
      <c r="AF4" s="255">
        <f>_xlfn.XLOOKUP(AF3,$C$16:$C$135,Y$16:Y$135)/(12*_xlfn.XLOOKUP(AF$2,sexo_cnu,cnu_elp))</f>
        <v>158779.23425516335</v>
      </c>
      <c r="AH4" s="32" t="s">
        <v>113</v>
      </c>
      <c r="AI4" s="30">
        <f>AJ3+1</f>
        <v>2024</v>
      </c>
      <c r="AJ4" s="84">
        <f>AJ3+10</f>
        <v>2033</v>
      </c>
      <c r="AK4" s="229">
        <f t="shared" si="0"/>
        <v>10</v>
      </c>
      <c r="AL4" s="230">
        <f t="shared" si="0"/>
        <v>10</v>
      </c>
      <c r="AM4" s="229">
        <f t="shared" si="1"/>
        <v>5.8</v>
      </c>
      <c r="AN4" s="230">
        <f t="shared" si="2"/>
        <v>5.8</v>
      </c>
      <c r="AO4" s="229">
        <f>_xlfn.LET(_xlpm.s,SUM(AO5:AO$8),MIN(tope_garantia-_xlpm.s,AM4))</f>
        <v>5.8</v>
      </c>
      <c r="AP4" s="230">
        <f>_xlfn.LET(_xlpm.s,SUM(AP5:AP$8),MIN(tope_garantia-_xlpm.s,AN4))</f>
        <v>5.8</v>
      </c>
      <c r="AQ4" s="242">
        <f t="shared" si="3"/>
        <v>0.1</v>
      </c>
      <c r="AR4" s="229">
        <f t="shared" si="4"/>
        <v>0.57999999999999996</v>
      </c>
      <c r="AS4" s="230">
        <f t="shared" si="4"/>
        <v>0.57999999999999996</v>
      </c>
      <c r="BA4" s="30" t="str">
        <v>Aumento por cotización</v>
      </c>
      <c r="BB4" s="38">
        <f>BB3-BB2</f>
        <v>26791</v>
      </c>
      <c r="BC4" s="38">
        <f>BC3-BC2</f>
        <v>23878</v>
      </c>
    </row>
    <row r="5" spans="1:55" x14ac:dyDescent="0.25">
      <c r="B5" s="34"/>
      <c r="C5" s="34"/>
      <c r="D5" s="34"/>
      <c r="E5" s="34"/>
      <c r="F5" s="34"/>
      <c r="G5" s="34"/>
      <c r="H5" s="34"/>
      <c r="I5" s="34"/>
      <c r="J5" s="34"/>
      <c r="K5" s="34"/>
      <c r="L5" s="71"/>
      <c r="M5" s="84"/>
      <c r="N5" s="85"/>
      <c r="O5" s="85"/>
      <c r="P5" s="85"/>
      <c r="Q5" s="85"/>
      <c r="R5" s="85"/>
      <c r="S5" s="85"/>
      <c r="V5" s="30" t="s">
        <v>217</v>
      </c>
      <c r="W5" s="47"/>
      <c r="X5" s="41">
        <f>6%-X4</f>
        <v>0.03</v>
      </c>
      <c r="Y5" s="47"/>
      <c r="AC5" s="47" t="s">
        <v>212</v>
      </c>
      <c r="AD5" s="45"/>
      <c r="AE5" s="255">
        <f t="array" ref="AE5">SUM((V$16:V$135+Z$16:Z$135)*($C$16:$C$135=AE3))/(12*_xlfn.XLOOKUP(AE$2,sexo_cnu,cnu_elp))</f>
        <v>276353.26577123004</v>
      </c>
      <c r="AF5" s="255">
        <f t="array" ref="AF5">SUM((W$16:W$135+AA$16:AA$135)*($C$16:$C$135=AF3))/(12*_xlfn.XLOOKUP(AF$2,sexo_cnu,cnu_elp))</f>
        <v>173851.18700470045</v>
      </c>
      <c r="AI5" s="30">
        <f>AJ4+1</f>
        <v>2034</v>
      </c>
      <c r="AJ5" s="84">
        <f>AJ4+10</f>
        <v>2043</v>
      </c>
      <c r="AK5" s="229">
        <f t="shared" si="0"/>
        <v>10</v>
      </c>
      <c r="AL5" s="230">
        <f t="shared" si="0"/>
        <v>10</v>
      </c>
      <c r="AM5" s="229">
        <f t="shared" si="1"/>
        <v>5.8</v>
      </c>
      <c r="AN5" s="230">
        <f t="shared" si="2"/>
        <v>5.8</v>
      </c>
      <c r="AO5" s="229">
        <f>_xlfn.LET(_xlpm.s,SUM(AO6:AO$8),MIN(tope_garantia-_xlpm.s,AM5))</f>
        <v>5.8</v>
      </c>
      <c r="AP5" s="230">
        <f>_xlfn.LET(_xlpm.s,SUM(AP6:AP$8),MIN(tope_garantia-_xlpm.s,AN5))</f>
        <v>5.8</v>
      </c>
      <c r="AQ5" s="242">
        <f t="shared" si="3"/>
        <v>0.1</v>
      </c>
      <c r="AR5" s="229">
        <f t="shared" si="4"/>
        <v>0.57999999999999996</v>
      </c>
      <c r="AS5" s="230">
        <f t="shared" si="4"/>
        <v>0.57999999999999996</v>
      </c>
      <c r="BA5" s="30" t="str">
        <v>Tabla Mortalidad</v>
      </c>
      <c r="BB5" s="38"/>
      <c r="BC5" s="248">
        <f>ROUND((IF($E$9&lt;2024,Parámetros!$AA$4,Parámetros!$AA$3)/Parámetros!$Z$4-1)*MIN(AJ$11,tope_bm*UF)*$X$7,0)</f>
        <v>30046</v>
      </c>
    </row>
    <row r="6" spans="1:55" x14ac:dyDescent="0.25">
      <c r="C6" s="32"/>
      <c r="D6" s="34"/>
      <c r="E6" s="34"/>
      <c r="F6" s="34"/>
      <c r="G6" s="34"/>
      <c r="H6" s="34"/>
      <c r="I6" s="34"/>
      <c r="J6" s="84"/>
      <c r="K6" s="85"/>
      <c r="L6" s="71"/>
      <c r="M6" s="84"/>
      <c r="N6" s="85"/>
      <c r="O6" s="85"/>
      <c r="P6" s="85"/>
      <c r="Q6" s="85"/>
      <c r="R6" s="85"/>
      <c r="S6" s="85"/>
      <c r="V6" s="40" t="s">
        <v>143</v>
      </c>
      <c r="X6" s="167">
        <f>0.16%*(1-VLOOKUP(a_nac,Parámetros!$AD$3:$AF$56,3))</f>
        <v>1.2800000000000001E-3</v>
      </c>
      <c r="Y6" s="47" t="s">
        <v>163</v>
      </c>
      <c r="AA6" s="86" t="s">
        <v>164</v>
      </c>
      <c r="AB6" s="84"/>
      <c r="AC6" s="287" t="s">
        <v>257</v>
      </c>
      <c r="AD6" s="33"/>
      <c r="AE6" s="269">
        <f>IF(Parámetros!Z$10&lt;2024,AE4,AE$5)</f>
        <v>276353.26577123004</v>
      </c>
      <c r="AF6" s="269">
        <f>IF(Parámetros!AA$10&lt;2024,AF4,AF$5)</f>
        <v>173851.18700470045</v>
      </c>
      <c r="AI6" s="30">
        <f>AJ5+1</f>
        <v>2044</v>
      </c>
      <c r="AJ6" s="84">
        <f>AJ5+10</f>
        <v>2053</v>
      </c>
      <c r="AK6" s="229">
        <f t="shared" si="0"/>
        <v>0</v>
      </c>
      <c r="AL6" s="230">
        <f t="shared" si="0"/>
        <v>0</v>
      </c>
      <c r="AM6" s="229">
        <f t="shared" si="1"/>
        <v>0</v>
      </c>
      <c r="AN6" s="230">
        <f t="shared" si="2"/>
        <v>0</v>
      </c>
      <c r="AO6" s="229">
        <f>_xlfn.LET(_xlpm.s,SUM(AO7:AO$8),MIN(tope_garantia-_xlpm.s,AM6))</f>
        <v>0</v>
      </c>
      <c r="AP6" s="230">
        <f>_xlfn.LET(_xlpm.s,SUM(AP7:AP$8),MIN(tope_garantia-_xlpm.s,AN6))</f>
        <v>0</v>
      </c>
      <c r="AQ6" s="242">
        <f t="shared" si="3"/>
        <v>0.1</v>
      </c>
      <c r="AR6" s="229">
        <f t="shared" si="4"/>
        <v>0</v>
      </c>
      <c r="AS6" s="230">
        <f t="shared" si="4"/>
        <v>0</v>
      </c>
      <c r="BA6" s="30" t="str">
        <v>Pensión intra</v>
      </c>
      <c r="BB6" s="38"/>
      <c r="BC6" s="38"/>
    </row>
    <row r="7" spans="1:55" x14ac:dyDescent="0.25">
      <c r="C7" s="32"/>
      <c r="D7" s="34"/>
      <c r="E7" s="34"/>
      <c r="F7" s="34"/>
      <c r="G7" s="34"/>
      <c r="H7" s="34"/>
      <c r="I7" s="34"/>
      <c r="J7" s="84"/>
      <c r="K7" s="85"/>
      <c r="L7" s="71"/>
      <c r="M7" s="84"/>
      <c r="N7" s="85"/>
      <c r="O7" s="85"/>
      <c r="P7" s="85"/>
      <c r="Q7" s="85"/>
      <c r="R7" s="85"/>
      <c r="S7" s="85"/>
      <c r="T7" s="172"/>
      <c r="U7" s="38"/>
      <c r="V7" s="252" t="s">
        <v>230</v>
      </c>
      <c r="W7" s="85"/>
      <c r="X7" s="253">
        <f>VLOOKUP(E9-a_nac,Parámetros!$Q$15:$R$20,2,FALSE)</f>
        <v>1</v>
      </c>
      <c r="Y7" s="85"/>
      <c r="Z7" s="85"/>
      <c r="AA7" s="85"/>
      <c r="AC7" s="65"/>
      <c r="AI7" s="30">
        <f>AJ6+1</f>
        <v>2054</v>
      </c>
      <c r="AJ7" s="84">
        <f>AJ6+10</f>
        <v>2063</v>
      </c>
      <c r="AK7" s="229">
        <f t="shared" si="0"/>
        <v>0</v>
      </c>
      <c r="AL7" s="230">
        <f t="shared" si="0"/>
        <v>0</v>
      </c>
      <c r="AM7" s="229">
        <f t="shared" si="1"/>
        <v>0</v>
      </c>
      <c r="AN7" s="230">
        <f t="shared" si="2"/>
        <v>0</v>
      </c>
      <c r="AO7" s="274">
        <f>_xlfn.LET(_xlpm.s,SUM(AO8:AO$8),MIN(tope_garantia-_xlpm.s,AM7))</f>
        <v>0</v>
      </c>
      <c r="AP7" s="275">
        <f>_xlfn.LET(_xlpm.s,SUM(AP8:AP$8),MIN(tope_garantia-_xlpm.s,AN7))</f>
        <v>0</v>
      </c>
      <c r="AQ7" s="242">
        <f t="shared" si="3"/>
        <v>0.1</v>
      </c>
      <c r="AR7" s="229">
        <f t="shared" si="4"/>
        <v>0</v>
      </c>
      <c r="AS7" s="230">
        <f t="shared" si="4"/>
        <v>0</v>
      </c>
      <c r="BA7" s="30" t="str">
        <v>Garantía</v>
      </c>
      <c r="BB7" s="247">
        <f>ROUND(MAX(AR9*UF-AT12,0),0)</f>
        <v>60883</v>
      </c>
      <c r="BC7" s="247">
        <f>ROUND(MAX(AS9*UF-AU12,0),0)</f>
        <v>72532</v>
      </c>
    </row>
    <row r="8" spans="1:55" ht="15.75" thickBot="1" x14ac:dyDescent="0.3">
      <c r="C8" s="32"/>
      <c r="D8" s="196" t="s">
        <v>110</v>
      </c>
      <c r="E8" s="196" t="s">
        <v>111</v>
      </c>
      <c r="F8" s="34"/>
      <c r="G8" s="34"/>
      <c r="H8" s="34"/>
      <c r="J8" s="84"/>
      <c r="K8" s="85"/>
      <c r="L8" s="71"/>
      <c r="M8" s="84"/>
      <c r="N8" s="85"/>
      <c r="O8" s="85"/>
      <c r="P8" s="85"/>
      <c r="Q8" s="85"/>
      <c r="R8" s="85"/>
      <c r="S8" s="85"/>
      <c r="T8" s="172"/>
      <c r="V8" s="252" t="s">
        <v>229</v>
      </c>
      <c r="W8" s="85"/>
      <c r="X8" s="254">
        <v>18</v>
      </c>
      <c r="Y8" s="85"/>
      <c r="Z8" s="85"/>
      <c r="AA8" s="85"/>
      <c r="AI8" s="30">
        <f>AJ7+1</f>
        <v>2064</v>
      </c>
      <c r="AJ8" s="84">
        <v>2100</v>
      </c>
      <c r="AK8" s="231">
        <f t="shared" si="0"/>
        <v>0</v>
      </c>
      <c r="AL8" s="232">
        <f t="shared" si="0"/>
        <v>0</v>
      </c>
      <c r="AM8" s="231">
        <f t="shared" si="1"/>
        <v>0</v>
      </c>
      <c r="AN8" s="232">
        <f t="shared" si="2"/>
        <v>0</v>
      </c>
      <c r="AO8" s="276">
        <f>MIN(tope_garantia,AM8)</f>
        <v>0</v>
      </c>
      <c r="AP8" s="277">
        <f>MIN(tope_garantia,AN8)</f>
        <v>0</v>
      </c>
      <c r="AQ8" s="243">
        <f t="shared" si="3"/>
        <v>0.1</v>
      </c>
      <c r="AR8" s="231">
        <f t="shared" si="4"/>
        <v>0</v>
      </c>
      <c r="AS8" s="232">
        <f t="shared" si="4"/>
        <v>0</v>
      </c>
      <c r="BA8" s="30" t="str">
        <v>Maternidad</v>
      </c>
      <c r="BB8" s="38"/>
      <c r="BC8" s="38">
        <f>ROUND(AO$11,0)</f>
        <v>0</v>
      </c>
    </row>
    <row r="9" spans="1:55" x14ac:dyDescent="0.25">
      <c r="B9" s="104" t="s">
        <v>119</v>
      </c>
      <c r="C9" s="32"/>
      <c r="D9" s="65">
        <f>_xlfn.XLOOKUP(D$8,sexo_cnu,agno_ret)</f>
        <v>2044</v>
      </c>
      <c r="E9" s="65">
        <f>_xlfn.XLOOKUP(E$8,sexo_cnu,agno_ret)</f>
        <v>2044</v>
      </c>
      <c r="F9" s="34"/>
      <c r="G9" s="34"/>
      <c r="H9" s="34"/>
      <c r="I9" s="34"/>
      <c r="J9" s="84"/>
      <c r="K9" s="85"/>
      <c r="L9" s="71"/>
      <c r="M9" s="84"/>
      <c r="N9" s="85"/>
      <c r="O9" s="85"/>
      <c r="P9" s="85"/>
      <c r="Q9" s="85"/>
      <c r="R9" s="85"/>
      <c r="S9" s="85"/>
      <c r="T9" s="174"/>
      <c r="U9" s="47"/>
      <c r="V9" s="30" t="s">
        <v>264</v>
      </c>
      <c r="W9" s="85"/>
      <c r="X9" s="206">
        <f>[0]!alpha</f>
        <v>0.7</v>
      </c>
      <c r="Y9" s="85"/>
      <c r="Z9" s="85"/>
      <c r="AA9" s="85"/>
      <c r="AH9" s="32"/>
      <c r="AJ9" s="30" t="s">
        <v>116</v>
      </c>
      <c r="AK9" s="244">
        <f>(a_nac+edad_ret_h-a_afil)</f>
        <v>41</v>
      </c>
      <c r="AL9" s="244">
        <f>(a_nac+edad_ret_m-a_afil)</f>
        <v>41</v>
      </c>
      <c r="AM9" s="244">
        <f t="shared" si="1"/>
        <v>23.779999999999998</v>
      </c>
      <c r="AN9" s="244">
        <f t="shared" si="2"/>
        <v>23.779999999999998</v>
      </c>
      <c r="AO9" s="244">
        <f>SUM(AO3:AO8)</f>
        <v>23.78</v>
      </c>
      <c r="AP9" s="244">
        <f>MIN(AN9,tope_garantia)</f>
        <v>23.779999999999998</v>
      </c>
      <c r="AQ9" s="245"/>
      <c r="AR9" s="278">
        <f>SUM(AR3:AR8)</f>
        <v>2.3780000000000001</v>
      </c>
      <c r="AS9" s="278">
        <f>SUM(AS3:AS8)</f>
        <v>2.3780000000000001</v>
      </c>
      <c r="BA9" s="30" t="str">
        <v>Cuidado</v>
      </c>
      <c r="BB9" s="38"/>
      <c r="BC9" s="38">
        <f>ROUND(AP$11,0)</f>
        <v>3690</v>
      </c>
    </row>
    <row r="10" spans="1:55" x14ac:dyDescent="0.25">
      <c r="D10" s="34"/>
      <c r="E10" s="34"/>
      <c r="F10" s="34"/>
      <c r="G10" s="34"/>
      <c r="H10" s="34"/>
      <c r="I10" s="35"/>
      <c r="J10" s="35"/>
      <c r="K10" s="85"/>
      <c r="L10" s="71"/>
      <c r="M10" s="84"/>
      <c r="N10" s="85"/>
      <c r="O10" s="85"/>
      <c r="P10" s="85"/>
      <c r="Q10" s="85"/>
      <c r="R10" s="85"/>
      <c r="S10" s="85"/>
      <c r="U10" s="47"/>
      <c r="V10" s="96" t="s">
        <v>263</v>
      </c>
      <c r="W10" s="85"/>
      <c r="X10" s="273">
        <v>30</v>
      </c>
      <c r="Y10" s="85"/>
      <c r="Z10" s="85"/>
      <c r="AA10" s="85"/>
      <c r="AO10" s="30"/>
      <c r="AP10" s="30"/>
      <c r="BA10" s="85" t="str">
        <v>Lagunas</v>
      </c>
      <c r="BB10" s="38"/>
      <c r="BC10" s="38"/>
    </row>
    <row r="11" spans="1:55" x14ac:dyDescent="0.25">
      <c r="A11" s="96"/>
      <c r="B11" s="84"/>
      <c r="C11" s="85"/>
      <c r="D11" s="208"/>
      <c r="E11" s="208"/>
      <c r="F11" s="208"/>
      <c r="G11" s="208"/>
      <c r="H11" s="208"/>
      <c r="I11" s="209"/>
      <c r="J11" s="209"/>
      <c r="K11" s="85"/>
      <c r="L11" s="71"/>
      <c r="M11" s="84"/>
      <c r="N11" s="85"/>
      <c r="O11" s="85"/>
      <c r="P11" s="85"/>
      <c r="Q11" s="85"/>
      <c r="R11" s="85"/>
      <c r="S11" s="85"/>
      <c r="T11" s="71"/>
      <c r="U11" s="47"/>
      <c r="V11" s="84"/>
      <c r="W11" s="85"/>
      <c r="X11" s="85"/>
      <c r="Y11" s="85"/>
      <c r="Z11" s="85"/>
      <c r="AA11" s="85"/>
      <c r="AG11" s="74">
        <f t="shared" ref="AG11:AR11" si="5">MAX(AG16:AG135)</f>
        <v>249562.18907357016</v>
      </c>
      <c r="AH11" s="74">
        <f t="shared" si="5"/>
        <v>222428.64055623682</v>
      </c>
      <c r="AI11" s="56">
        <f>MAX(AI16:AI135)</f>
        <v>276353.26577123004</v>
      </c>
      <c r="AJ11" s="56">
        <f>MAX(AJ16:AJ135)</f>
        <v>246306.86822774375</v>
      </c>
      <c r="AK11" s="53">
        <f t="shared" si="5"/>
        <v>0</v>
      </c>
      <c r="AL11" s="53">
        <f t="shared" si="5"/>
        <v>0</v>
      </c>
      <c r="AM11" s="53">
        <f t="shared" si="5"/>
        <v>0</v>
      </c>
      <c r="AN11" s="53">
        <f t="shared" si="5"/>
        <v>0</v>
      </c>
      <c r="AO11" s="53">
        <f t="shared" si="5"/>
        <v>0</v>
      </c>
      <c r="AP11" s="53">
        <f t="shared" si="5"/>
        <v>3689.6225788216511</v>
      </c>
      <c r="AQ11" s="53">
        <f t="shared" si="5"/>
        <v>0</v>
      </c>
      <c r="AR11" s="53">
        <f t="shared" si="5"/>
        <v>0</v>
      </c>
      <c r="AS11" s="84"/>
      <c r="AT11" s="68">
        <f t="shared" ref="AT11:AW11" si="6">MAX(AT16:AT135)</f>
        <v>25035.15968042265</v>
      </c>
      <c r="AU11" s="68">
        <f t="shared" si="6"/>
        <v>22313.222024924358</v>
      </c>
      <c r="AV11" s="68">
        <f t="shared" si="6"/>
        <v>251318.10609080741</v>
      </c>
      <c r="AW11" s="68">
        <f t="shared" si="6"/>
        <v>223993.64620281939</v>
      </c>
      <c r="AX11" s="85" t="s">
        <v>233</v>
      </c>
      <c r="AY11" s="85"/>
      <c r="AZ11" s="85"/>
    </row>
    <row r="12" spans="1:55" ht="15" customHeight="1" x14ac:dyDescent="0.25">
      <c r="A12" s="374" t="s">
        <v>20</v>
      </c>
      <c r="B12" s="201" t="s">
        <v>167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6"/>
      <c r="M12" s="309" t="s">
        <v>170</v>
      </c>
      <c r="N12" s="310"/>
      <c r="O12" s="310"/>
      <c r="P12" s="310"/>
      <c r="Q12" s="310"/>
      <c r="R12" s="310"/>
      <c r="S12" s="310"/>
      <c r="T12" s="311"/>
      <c r="U12" s="47"/>
      <c r="V12" s="298" t="s">
        <v>171</v>
      </c>
      <c r="W12" s="299"/>
      <c r="X12" s="299"/>
      <c r="Y12" s="299"/>
      <c r="Z12" s="299"/>
      <c r="AA12" s="299"/>
      <c r="AB12" s="312" t="s">
        <v>173</v>
      </c>
      <c r="AC12" s="312"/>
      <c r="AD12" s="312"/>
      <c r="AE12" s="312"/>
      <c r="AG12" s="357" t="str">
        <f>"PAFE sin reforma ("&amp;TEXT($X$2,"0,0%")&amp;")"</f>
        <v>PAFE sin reforma (10,0%)</v>
      </c>
      <c r="AH12" s="358"/>
      <c r="AI12" s="357" t="str">
        <f>"PAFE con reforma 
("&amp;TEXT($X$3,"0,0%")&amp;" + "&amp;TEXT(W14,"0%")&amp;" ind y col)"</f>
        <v>PAFE con reforma 
(10,5% + 3% ind y col)</v>
      </c>
      <c r="AJ12" s="358"/>
      <c r="AK12" s="313" t="s">
        <v>177</v>
      </c>
      <c r="AL12" s="314"/>
      <c r="AM12" s="314"/>
      <c r="AN12" s="314"/>
      <c r="AO12" s="314"/>
      <c r="AP12" s="314"/>
      <c r="AQ12" s="314"/>
      <c r="AR12" s="314"/>
      <c r="AS12" s="84"/>
      <c r="AT12" s="256" cm="1">
        <f t="array" ref="AT12">SUM((V$16:V$135)*($C$16:$C$135=AE3))/(12*_xlfn.XLOOKUP(AT$15,sexo_cnu,cnu_elp))</f>
        <v>25035.15968042265</v>
      </c>
      <c r="AU12" s="256" cm="1">
        <f t="array" ref="AU12">SUM((W$16:W$135)*($C$16:$C$135=AF3))/(12*_xlfn.XLOOKUP(AU$15,sexo_cnu,cnu_elp))</f>
        <v>13385.625533067543</v>
      </c>
      <c r="AX12" s="85" t="s">
        <v>232</v>
      </c>
      <c r="AY12" s="85"/>
      <c r="AZ12" s="85"/>
      <c r="BA12" s="30" t="s">
        <v>220</v>
      </c>
      <c r="BB12" s="249">
        <f>BB7+AT$11</f>
        <v>85918.159680422657</v>
      </c>
      <c r="BC12" s="249">
        <f>BC7+AU$11</f>
        <v>94845.222024924355</v>
      </c>
    </row>
    <row r="13" spans="1:55" s="58" customFormat="1" ht="44.25" customHeight="1" x14ac:dyDescent="0.25">
      <c r="A13" s="375"/>
      <c r="B13" s="394" t="s">
        <v>120</v>
      </c>
      <c r="C13" s="397" t="s">
        <v>104</v>
      </c>
      <c r="D13" s="363" t="s">
        <v>106</v>
      </c>
      <c r="E13" s="364"/>
      <c r="F13" s="363" t="s">
        <v>109</v>
      </c>
      <c r="G13" s="364"/>
      <c r="H13" s="400" t="s">
        <v>118</v>
      </c>
      <c r="I13" s="363" t="s">
        <v>108</v>
      </c>
      <c r="J13" s="364"/>
      <c r="K13" s="363" t="s">
        <v>107</v>
      </c>
      <c r="L13" s="364"/>
      <c r="M13" s="411" t="str">
        <f>"Cot extra "&amp;TEXT(N14,"0,0%")&amp;" 
Individual"</f>
        <v>Cot extra 3,0% 
Individual</v>
      </c>
      <c r="N13" s="411"/>
      <c r="O13" s="411" t="str">
        <f>"Cot extra "&amp;TEXT(N14,"0,0%")&amp;" 
Colectivo"</f>
        <v>Cot extra 3,0% 
Colectivo</v>
      </c>
      <c r="P13" s="411"/>
      <c r="Q13" s="377" t="str">
        <f>"Cotización sin reforma
"&amp;TEXT($X$2,"0,0%")</f>
        <v>Cotización sin reforma
10,0%</v>
      </c>
      <c r="R13" s="378"/>
      <c r="S13" s="377" t="str">
        <f>"Cotización con reforma por "&amp;TEXT($X$3,"0,0%")&amp;" (incluye lagunas "&amp;TEXT($X$3+$X$4,"0,0%")&amp;")"</f>
        <v>Cotización con reforma por 10,5% (incluye lagunas 13,5%)</v>
      </c>
      <c r="T13" s="378"/>
      <c r="U13" s="63"/>
      <c r="V13" s="412" t="str">
        <f>"Saldo cot extra "&amp;TEXT(W14,"0,0%")&amp;" 
Individual y Colectivo"</f>
        <v>Saldo cot extra 3,0% 
Individual y Colectivo</v>
      </c>
      <c r="W13" s="412"/>
      <c r="X13" s="387" t="str">
        <f>"Saldos sin reforma ("&amp;TEXT($X$2,"0,0%")&amp;")"</f>
        <v>Saldos sin reforma (10,0%)</v>
      </c>
      <c r="Y13" s="388"/>
      <c r="Z13" s="387" t="str">
        <f>"Saldo con reforma ("&amp;TEXT($X$3,"0,0%")&amp;")"</f>
        <v>Saldo con reforma (10,5%)</v>
      </c>
      <c r="AA13" s="388"/>
      <c r="AB13" s="381" t="s">
        <v>2</v>
      </c>
      <c r="AC13" s="351" t="s">
        <v>175</v>
      </c>
      <c r="AD13" s="353" t="s">
        <v>174</v>
      </c>
      <c r="AE13" s="354"/>
      <c r="AG13" s="359"/>
      <c r="AH13" s="360"/>
      <c r="AI13" s="359"/>
      <c r="AJ13" s="360"/>
      <c r="AK13" s="407"/>
      <c r="AL13" s="408"/>
      <c r="AM13" s="407"/>
      <c r="AN13" s="408"/>
      <c r="AO13" s="403" t="s">
        <v>2</v>
      </c>
      <c r="AP13" s="403" t="s">
        <v>105</v>
      </c>
      <c r="AQ13" s="370" t="s">
        <v>174</v>
      </c>
      <c r="AR13" s="371"/>
      <c r="AS13" s="182"/>
      <c r="AT13" s="387" t="str">
        <f>"PAFE cot extra "&amp;TEXT(W14,"0,0%")&amp;" Individual y Colectivo"</f>
        <v>PAFE cot extra 3,0% Individual y Colectivo</v>
      </c>
      <c r="AU13" s="388"/>
      <c r="AV13" s="387" t="str">
        <f>"PAFE con reforma (10,5%)"</f>
        <v>PAFE con reforma (10,5%)</v>
      </c>
      <c r="AW13" s="388"/>
      <c r="AX13" s="183"/>
      <c r="AY13" s="183"/>
      <c r="AZ13" s="183"/>
    </row>
    <row r="14" spans="1:55" ht="15" customHeight="1" x14ac:dyDescent="0.25">
      <c r="A14" s="375"/>
      <c r="B14" s="395"/>
      <c r="C14" s="398"/>
      <c r="D14" s="365"/>
      <c r="E14" s="366"/>
      <c r="F14" s="365"/>
      <c r="G14" s="366"/>
      <c r="H14" s="401"/>
      <c r="I14" s="365"/>
      <c r="J14" s="366"/>
      <c r="K14" s="365"/>
      <c r="L14" s="366"/>
      <c r="M14" s="30" t="s">
        <v>168</v>
      </c>
      <c r="N14" s="171">
        <f>$X$4</f>
        <v>0.03</v>
      </c>
      <c r="O14" s="30" t="s">
        <v>168</v>
      </c>
      <c r="P14" s="171">
        <f>N14</f>
        <v>0.03</v>
      </c>
      <c r="Q14" s="379"/>
      <c r="R14" s="380"/>
      <c r="S14" s="379"/>
      <c r="T14" s="380"/>
      <c r="U14" s="64"/>
      <c r="V14" s="30" t="s">
        <v>123</v>
      </c>
      <c r="W14" s="171">
        <f>N14</f>
        <v>0.03</v>
      </c>
      <c r="X14" s="389"/>
      <c r="Y14" s="390"/>
      <c r="Z14" s="389"/>
      <c r="AA14" s="390"/>
      <c r="AB14" s="382"/>
      <c r="AC14" s="352"/>
      <c r="AD14" s="355"/>
      <c r="AE14" s="356"/>
      <c r="AG14" s="361"/>
      <c r="AH14" s="362"/>
      <c r="AI14" s="361"/>
      <c r="AJ14" s="362"/>
      <c r="AK14" s="409"/>
      <c r="AL14" s="410"/>
      <c r="AM14" s="409"/>
      <c r="AN14" s="410"/>
      <c r="AO14" s="404"/>
      <c r="AP14" s="404"/>
      <c r="AQ14" s="372"/>
      <c r="AR14" s="373"/>
      <c r="AT14" s="389"/>
      <c r="AU14" s="390"/>
      <c r="AV14" s="389"/>
      <c r="AW14" s="390"/>
    </row>
    <row r="15" spans="1:55" x14ac:dyDescent="0.25">
      <c r="A15" s="376"/>
      <c r="B15" s="396"/>
      <c r="C15" s="399"/>
      <c r="D15" s="109" t="s">
        <v>2</v>
      </c>
      <c r="E15" s="109" t="s">
        <v>105</v>
      </c>
      <c r="F15" s="109" t="s">
        <v>165</v>
      </c>
      <c r="G15" s="109" t="s">
        <v>166</v>
      </c>
      <c r="H15" s="402"/>
      <c r="I15" s="109" t="s">
        <v>165</v>
      </c>
      <c r="J15" s="109" t="s">
        <v>166</v>
      </c>
      <c r="K15" s="109" t="s">
        <v>165</v>
      </c>
      <c r="L15" s="109" t="s">
        <v>166</v>
      </c>
      <c r="M15" s="31" t="s">
        <v>110</v>
      </c>
      <c r="N15" s="31" t="s">
        <v>111</v>
      </c>
      <c r="O15" s="31" t="s">
        <v>110</v>
      </c>
      <c r="P15" s="31" t="s">
        <v>111</v>
      </c>
      <c r="Q15" s="31" t="s">
        <v>110</v>
      </c>
      <c r="R15" s="31" t="s">
        <v>111</v>
      </c>
      <c r="S15" s="31" t="s">
        <v>110</v>
      </c>
      <c r="T15" s="31" t="s">
        <v>111</v>
      </c>
      <c r="U15" s="108"/>
      <c r="V15" s="31" t="s">
        <v>110</v>
      </c>
      <c r="W15" s="31" t="s">
        <v>111</v>
      </c>
      <c r="X15" s="31" t="s">
        <v>110</v>
      </c>
      <c r="Y15" s="31" t="s">
        <v>111</v>
      </c>
      <c r="Z15" s="31" t="s">
        <v>110</v>
      </c>
      <c r="AA15" s="31" t="s">
        <v>111</v>
      </c>
      <c r="AB15" s="31" t="s">
        <v>111</v>
      </c>
      <c r="AC15" s="31" t="s">
        <v>111</v>
      </c>
      <c r="AD15" s="31" t="s">
        <v>110</v>
      </c>
      <c r="AE15" s="31" t="s">
        <v>111</v>
      </c>
      <c r="AG15" s="33" t="s">
        <v>110</v>
      </c>
      <c r="AH15" s="33" t="s">
        <v>111</v>
      </c>
      <c r="AI15" s="33" t="s">
        <v>110</v>
      </c>
      <c r="AJ15" s="33" t="s">
        <v>111</v>
      </c>
      <c r="AK15" s="30" t="s">
        <v>110</v>
      </c>
      <c r="AL15" s="30" t="s">
        <v>111</v>
      </c>
      <c r="AM15" s="30" t="s">
        <v>110</v>
      </c>
      <c r="AN15" s="30" t="s">
        <v>111</v>
      </c>
      <c r="AO15" s="30" t="s">
        <v>111</v>
      </c>
      <c r="AP15" s="30" t="s">
        <v>111</v>
      </c>
      <c r="AQ15" s="30" t="s">
        <v>110</v>
      </c>
      <c r="AR15" s="30" t="s">
        <v>111</v>
      </c>
      <c r="AT15" s="31" t="s">
        <v>110</v>
      </c>
      <c r="AU15" s="31" t="s">
        <v>111</v>
      </c>
      <c r="AV15" s="33" t="s">
        <v>110</v>
      </c>
      <c r="AW15" s="33" t="s">
        <v>111</v>
      </c>
      <c r="AY15" s="188" t="s">
        <v>218</v>
      </c>
    </row>
    <row r="16" spans="1:55" s="96" customFormat="1" x14ac:dyDescent="0.25">
      <c r="A16" s="30">
        <v>1981</v>
      </c>
      <c r="B16" s="33">
        <f>w_uf*UF*Parámetros!C3</f>
        <v>380780.03679971903</v>
      </c>
      <c r="C16" s="30">
        <f t="shared" ref="C16:C17" si="7">IF(AND(A16-a_nac&lt;=110,A16-a_nac&gt;0),A16-a_nac,"")</f>
        <v>2</v>
      </c>
      <c r="D16" s="30">
        <f>((A16=Inputs!$C$12)*(Inputs!$D$12) + (A16=Inputs!$C$13)*(Inputs!$D$13) + (A16=Inputs!$C$14)*(Inputs!$D$14)) *(A16 &gt;= a_afil)*(A16&gt;=2024)</f>
        <v>0</v>
      </c>
      <c r="E16" s="30">
        <v>0</v>
      </c>
      <c r="F16" s="30">
        <f t="shared" ref="F16:F47" si="8" xml:space="preserve"> (C16&lt;edad_ret_h) * (A16&gt;=a_afil)</f>
        <v>0</v>
      </c>
      <c r="G16" s="30">
        <f t="shared" ref="G16:G47" si="9" xml:space="preserve"> (C16&lt;edad_ret_m) * (A16&gt;=a_afil)</f>
        <v>0</v>
      </c>
      <c r="H16" s="30">
        <v>0.11547011137008667</v>
      </c>
      <c r="I16" s="37">
        <f t="shared" ref="I16:I58" si="10">IF(F16=1,+dens_cot,0)</f>
        <v>0</v>
      </c>
      <c r="J16" s="37">
        <f t="shared" ref="J16:J58" si="11">IF(G16=1,+dens_mujer,0)</f>
        <v>0</v>
      </c>
      <c r="K16" s="30"/>
      <c r="M16" s="97"/>
      <c r="N16" s="98"/>
      <c r="O16" s="98"/>
      <c r="P16" s="98"/>
      <c r="Q16" s="192">
        <f t="shared" ref="Q16:R16" si="12">MIN($B16,_xlfn.XLOOKUP($A16,agnos,tope_base)*UF)*12*I16*$X$2</f>
        <v>0</v>
      </c>
      <c r="R16" s="192">
        <f t="shared" si="12"/>
        <v>0</v>
      </c>
      <c r="S16" s="192">
        <f t="shared" ref="S16" si="13">MIN($B16,_xlfn.XLOOKUP($A16,agnos,tope_base)*UF)*12*I16*$X$2</f>
        <v>0</v>
      </c>
      <c r="T16" s="192">
        <f t="shared" ref="T16" si="14">MIN($B16,_xlfn.XLOOKUP($A16,agnos,tope_base)*UF)*12*J16*$X$2</f>
        <v>0</v>
      </c>
      <c r="U16" s="98"/>
      <c r="V16" s="98"/>
      <c r="W16" s="98"/>
      <c r="X16" s="99"/>
      <c r="Y16" s="99"/>
      <c r="Z16" s="99"/>
      <c r="AA16" s="99"/>
      <c r="AG16" s="52">
        <f t="shared" ref="AG16:AG47" si="15">($A16=D$9)*X16/(12*_xlfn.XLOOKUP(AG$15,sexo_cnu,cnu))</f>
        <v>0</v>
      </c>
      <c r="AH16" s="52">
        <f t="shared" ref="AH16:AH47" si="16">($A16=E$9)*Y16/(12*_xlfn.XLOOKUP(AH$15,sexo_cnu,cnu))</f>
        <v>0</v>
      </c>
      <c r="AI16" s="52">
        <f t="shared" ref="AI16:AI58" si="17">($A16=D$9)*Z16/(12*_xlfn.XLOOKUP(AI$15,sexo_cnu,cnu))</f>
        <v>0</v>
      </c>
      <c r="AJ16" s="52">
        <f t="shared" ref="AJ16:AJ58" si="18">($A16=E$9)*AA16/(12*_xlfn.XLOOKUP(AJ$15,sexo_cnu,cnu))</f>
        <v>0</v>
      </c>
      <c r="AS16" s="100"/>
      <c r="AT16" s="98"/>
      <c r="AU16" s="98"/>
      <c r="AV16" s="189">
        <f t="shared" ref="AV16:AV58" si="19">IF(($A16=a_nac+edad_ret_h),Z16/(12*_xlfn.XLOOKUP(AV$15,sexo_cnu,cnu)),0)</f>
        <v>0</v>
      </c>
      <c r="AW16" s="189">
        <f t="shared" ref="AW16:AW47" si="20">IF($A16=a_nac+edad_ret_m,AA16/(12*_xlfn.XLOOKUP(AW$15,sexo_cnu,cnu)),0)</f>
        <v>0</v>
      </c>
      <c r="AX16" s="100"/>
      <c r="AY16" s="100"/>
    </row>
    <row r="17" spans="1:51" s="65" customFormat="1" x14ac:dyDescent="0.25">
      <c r="A17" s="30">
        <v>1982</v>
      </c>
      <c r="B17" s="33">
        <f>w_uf*UF*Parámetros!C4</f>
        <v>407279.08360989951</v>
      </c>
      <c r="C17" s="30">
        <f t="shared" si="7"/>
        <v>3</v>
      </c>
      <c r="D17" s="30">
        <f>((A17=Inputs!$C$12)*(Inputs!$D$12) + (A17=Inputs!$C$13)*(Inputs!$D$13) + (A17=Inputs!$C$14)*(Inputs!$D$14)) *(A17 &gt;= a_afil)*(A17&gt;=2024)</f>
        <v>0</v>
      </c>
      <c r="E17" s="30">
        <v>0</v>
      </c>
      <c r="F17" s="30">
        <f t="shared" si="8"/>
        <v>0</v>
      </c>
      <c r="G17" s="30">
        <f t="shared" si="9"/>
        <v>0</v>
      </c>
      <c r="H17" s="30">
        <v>0.17377340793609619</v>
      </c>
      <c r="I17" s="37">
        <f t="shared" si="10"/>
        <v>0</v>
      </c>
      <c r="J17" s="37">
        <f t="shared" si="11"/>
        <v>0</v>
      </c>
      <c r="K17" s="84"/>
      <c r="L17" s="101"/>
      <c r="M17" s="88"/>
      <c r="N17" s="69"/>
      <c r="O17" s="69"/>
      <c r="P17" s="69"/>
      <c r="Q17" s="70">
        <f t="shared" ref="Q17" si="21">MIN($B17,_xlfn.XLOOKUP($A17,agnos,tope_base)*UF)*12*I17*$X$2</f>
        <v>0</v>
      </c>
      <c r="R17" s="70">
        <f t="shared" ref="R17" si="22">MIN($B17,_xlfn.XLOOKUP($A17,agnos,tope_base)*UF)*12*J17*$X$2</f>
        <v>0</v>
      </c>
      <c r="S17" s="70">
        <f t="shared" ref="S17" si="23">MIN($B17,_xlfn.XLOOKUP($A17,agnos,tope_base)*UF)*12*I17*$X$2</f>
        <v>0</v>
      </c>
      <c r="T17" s="70">
        <f t="shared" ref="T17" si="24">MIN($B17,_xlfn.XLOOKUP($A17,agnos,tope_base)*UF)*12*J17*$X$2</f>
        <v>0</v>
      </c>
      <c r="U17" s="69"/>
      <c r="V17" s="69"/>
      <c r="W17" s="69"/>
      <c r="X17" s="70">
        <f t="shared" ref="X17:X48" si="25">F16*X16*(1+_xlfn.XLOOKUP(MIN(2024,$A16),agnos_rent,rent_base))+Q17</f>
        <v>0</v>
      </c>
      <c r="Y17" s="70">
        <f t="shared" ref="Y17:Y48" si="26">G16*Y16*(1+_xlfn.XLOOKUP(MIN(2024,$A16),agnos_rent,rent_base))+R17</f>
        <v>0</v>
      </c>
      <c r="Z17" s="70">
        <f t="shared" ref="Z17:Z58" si="27">F16*Z16*(1+_xlfn.XLOOKUP(MIN(2024,$A16),agnos_rent,rent_base))+S17</f>
        <v>0</v>
      </c>
      <c r="AA17" s="70">
        <f t="shared" ref="AA17:AA58" si="28">G16*AA16*(1+_xlfn.XLOOKUP(MIN(2024,$A16),agnos_rent,rent_base))+T17</f>
        <v>0</v>
      </c>
      <c r="AG17" s="74">
        <f t="shared" si="15"/>
        <v>0</v>
      </c>
      <c r="AH17" s="52">
        <f t="shared" si="16"/>
        <v>0</v>
      </c>
      <c r="AI17" s="74">
        <f t="shared" si="17"/>
        <v>0</v>
      </c>
      <c r="AJ17" s="74">
        <f t="shared" si="18"/>
        <v>0</v>
      </c>
      <c r="AS17" s="102"/>
      <c r="AT17" s="69"/>
      <c r="AU17" s="69"/>
      <c r="AV17" s="74">
        <f t="shared" si="19"/>
        <v>0</v>
      </c>
      <c r="AW17" s="74">
        <f t="shared" si="20"/>
        <v>0</v>
      </c>
      <c r="AX17" s="102"/>
      <c r="AY17" s="102"/>
    </row>
    <row r="18" spans="1:51" x14ac:dyDescent="0.25">
      <c r="A18" s="30">
        <v>1983</v>
      </c>
      <c r="B18" s="33">
        <f>w_uf*UF*Parámetros!C5</f>
        <v>416549.90038654342</v>
      </c>
      <c r="C18" s="30">
        <f t="shared" ref="C18" si="29">IF(AND(A18-a_nac&lt;=110,A18-a_nac&gt;0),A18-a_nac,"")</f>
        <v>4</v>
      </c>
      <c r="D18" s="30">
        <f>((A18=Inputs!$C$12)*(Inputs!$D$12) + (A18=Inputs!$C$13)*(Inputs!$D$13) + (A18=Inputs!$C$14)*(Inputs!$D$14)) *(A18 &gt;= a_afil)*(A18&gt;=2024)</f>
        <v>0</v>
      </c>
      <c r="E18" s="30">
        <v>0</v>
      </c>
      <c r="F18" s="30">
        <f t="shared" si="8"/>
        <v>0</v>
      </c>
      <c r="G18" s="30">
        <f t="shared" si="9"/>
        <v>0</v>
      </c>
      <c r="H18" s="30">
        <v>4.8118889331817627E-2</v>
      </c>
      <c r="I18" s="37">
        <f t="shared" si="10"/>
        <v>0</v>
      </c>
      <c r="J18" s="37">
        <f t="shared" si="11"/>
        <v>0</v>
      </c>
      <c r="K18" s="84"/>
      <c r="L18" s="71"/>
      <c r="M18" s="87"/>
      <c r="N18" s="47"/>
      <c r="O18" s="47"/>
      <c r="P18" s="47"/>
      <c r="Q18" s="192">
        <f t="shared" ref="Q18" si="30">MIN($B18,_xlfn.XLOOKUP($A18,agnos,tope_base)*UF)*12*I18*$X$2</f>
        <v>0</v>
      </c>
      <c r="R18" s="54">
        <f t="shared" ref="R18" si="31">MIN($B18,_xlfn.XLOOKUP($A18,agnos,tope_base)*UF)*12*J18*$X$2</f>
        <v>0</v>
      </c>
      <c r="S18" s="54">
        <f t="shared" ref="S18" si="32">MIN($B18,_xlfn.XLOOKUP($A18,agnos,tope_base)*UF)*12*I18*$X$2</f>
        <v>0</v>
      </c>
      <c r="T18" s="54">
        <f t="shared" ref="T18" si="33">MIN($B18,_xlfn.XLOOKUP($A18,agnos,tope_base)*UF)*12*J18*$X$2</f>
        <v>0</v>
      </c>
      <c r="U18" s="47"/>
      <c r="V18" s="47"/>
      <c r="W18" s="47"/>
      <c r="X18" s="70">
        <f t="shared" si="25"/>
        <v>0</v>
      </c>
      <c r="Y18" s="70">
        <f t="shared" si="26"/>
        <v>0</v>
      </c>
      <c r="Z18" s="70">
        <f t="shared" si="27"/>
        <v>0</v>
      </c>
      <c r="AA18" s="70">
        <f t="shared" si="28"/>
        <v>0</v>
      </c>
      <c r="AG18" s="52">
        <f t="shared" si="15"/>
        <v>0</v>
      </c>
      <c r="AH18" s="52">
        <f t="shared" si="16"/>
        <v>0</v>
      </c>
      <c r="AI18" s="52">
        <f t="shared" si="17"/>
        <v>0</v>
      </c>
      <c r="AJ18" s="52">
        <f t="shared" si="18"/>
        <v>0</v>
      </c>
      <c r="AK18" s="30"/>
      <c r="AL18" s="30"/>
      <c r="AM18" s="30"/>
      <c r="AN18" s="30"/>
      <c r="AO18" s="30"/>
      <c r="AP18" s="30"/>
      <c r="AS18" s="39"/>
      <c r="AT18" s="47"/>
      <c r="AU18" s="47"/>
      <c r="AV18" s="52">
        <f t="shared" si="19"/>
        <v>0</v>
      </c>
      <c r="AW18" s="52">
        <f t="shared" si="20"/>
        <v>0</v>
      </c>
      <c r="AX18" s="39"/>
      <c r="AY18" s="39"/>
    </row>
    <row r="19" spans="1:51" x14ac:dyDescent="0.25">
      <c r="A19" s="30">
        <v>1984</v>
      </c>
      <c r="B19" s="33">
        <f>w_uf*UF*Parámetros!C6</f>
        <v>370107.77342588617</v>
      </c>
      <c r="C19" s="30">
        <f t="shared" ref="C19" si="34">IF(AND(A19-a_nac&lt;=110,A19-a_nac&gt;0),A19-a_nac,"")</f>
        <v>5</v>
      </c>
      <c r="D19" s="30">
        <f>((A19=Inputs!$C$12)*(Inputs!$D$12) + (A19=Inputs!$C$13)*(Inputs!$D$13) + (A19=Inputs!$C$14)*(Inputs!$D$14)) *(A19 &gt;= a_afil)*(A19&gt;=2024)</f>
        <v>0</v>
      </c>
      <c r="E19" s="30">
        <v>0</v>
      </c>
      <c r="F19" s="30">
        <f t="shared" si="8"/>
        <v>0</v>
      </c>
      <c r="G19" s="30">
        <f t="shared" si="9"/>
        <v>0</v>
      </c>
      <c r="H19" s="30">
        <v>0.71481633186340332</v>
      </c>
      <c r="I19" s="37">
        <f t="shared" si="10"/>
        <v>0</v>
      </c>
      <c r="J19" s="37">
        <f t="shared" si="11"/>
        <v>0</v>
      </c>
      <c r="K19" s="84"/>
      <c r="L19" s="71"/>
      <c r="M19" s="87"/>
      <c r="N19" s="47"/>
      <c r="O19" s="47"/>
      <c r="P19" s="47"/>
      <c r="Q19" s="54">
        <f t="shared" ref="Q19" si="35">MIN($B19,_xlfn.XLOOKUP($A19,agnos,tope_base)*UF)*12*I19*$X$2</f>
        <v>0</v>
      </c>
      <c r="R19" s="54">
        <f t="shared" ref="R19" si="36">MIN($B19,_xlfn.XLOOKUP($A19,agnos,tope_base)*UF)*12*J19*$X$2</f>
        <v>0</v>
      </c>
      <c r="S19" s="54">
        <f t="shared" ref="S19" si="37">MIN($B19,_xlfn.XLOOKUP($A19,agnos,tope_base)*UF)*12*I19*$X$2</f>
        <v>0</v>
      </c>
      <c r="T19" s="54">
        <f t="shared" ref="T19" si="38">MIN($B19,_xlfn.XLOOKUP($A19,agnos,tope_base)*UF)*12*J19*$X$2</f>
        <v>0</v>
      </c>
      <c r="U19" s="47"/>
      <c r="V19" s="47"/>
      <c r="W19" s="47"/>
      <c r="X19" s="70">
        <f t="shared" si="25"/>
        <v>0</v>
      </c>
      <c r="Y19" s="70">
        <f t="shared" si="26"/>
        <v>0</v>
      </c>
      <c r="Z19" s="70">
        <f t="shared" si="27"/>
        <v>0</v>
      </c>
      <c r="AA19" s="70">
        <f t="shared" si="28"/>
        <v>0</v>
      </c>
      <c r="AG19" s="52">
        <f t="shared" si="15"/>
        <v>0</v>
      </c>
      <c r="AH19" s="52">
        <f t="shared" si="16"/>
        <v>0</v>
      </c>
      <c r="AI19" s="52">
        <f t="shared" si="17"/>
        <v>0</v>
      </c>
      <c r="AJ19" s="52">
        <f t="shared" si="18"/>
        <v>0</v>
      </c>
      <c r="AK19" s="30"/>
      <c r="AL19" s="30"/>
      <c r="AM19" s="30"/>
      <c r="AN19" s="30"/>
      <c r="AO19" s="30"/>
      <c r="AP19" s="30"/>
      <c r="AS19" s="39"/>
      <c r="AT19" s="47"/>
      <c r="AU19" s="47"/>
      <c r="AV19" s="52">
        <f t="shared" si="19"/>
        <v>0</v>
      </c>
      <c r="AW19" s="52">
        <f t="shared" si="20"/>
        <v>0</v>
      </c>
      <c r="AX19" s="39"/>
      <c r="AY19" s="39"/>
    </row>
    <row r="20" spans="1:51" x14ac:dyDescent="0.25">
      <c r="A20" s="30">
        <v>1985</v>
      </c>
      <c r="B20" s="33">
        <f>w_uf*UF*Parámetros!C7</f>
        <v>371644.21891942294</v>
      </c>
      <c r="C20" s="30">
        <f t="shared" ref="C20" si="39">IF(AND(A20-a_nac&lt;=110,A20-a_nac&gt;0),A20-a_nac,"")</f>
        <v>6</v>
      </c>
      <c r="D20" s="30">
        <f>((A20=Inputs!$C$12)*(Inputs!$D$12) + (A20=Inputs!$C$13)*(Inputs!$D$13) + (A20=Inputs!$C$14)*(Inputs!$D$14)) *(A20 &gt;= a_afil)*(A20&gt;=2024)</f>
        <v>0</v>
      </c>
      <c r="E20" s="30">
        <v>0</v>
      </c>
      <c r="F20" s="30">
        <f t="shared" si="8"/>
        <v>0</v>
      </c>
      <c r="G20" s="30">
        <f t="shared" si="9"/>
        <v>0</v>
      </c>
      <c r="H20" s="30">
        <v>0.53302234411239624</v>
      </c>
      <c r="I20" s="37">
        <f t="shared" si="10"/>
        <v>0</v>
      </c>
      <c r="J20" s="37">
        <f t="shared" si="11"/>
        <v>0</v>
      </c>
      <c r="K20" s="84"/>
      <c r="L20" s="71"/>
      <c r="M20" s="87"/>
      <c r="N20" s="47"/>
      <c r="O20" s="47"/>
      <c r="P20" s="47"/>
      <c r="Q20" s="54">
        <f t="shared" ref="Q20" si="40">MIN($B20,_xlfn.XLOOKUP($A20,agnos,tope_base)*UF)*12*I20*$X$2</f>
        <v>0</v>
      </c>
      <c r="R20" s="54">
        <f t="shared" ref="R20" si="41">MIN($B20,_xlfn.XLOOKUP($A20,agnos,tope_base)*UF)*12*J20*$X$2</f>
        <v>0</v>
      </c>
      <c r="S20" s="54">
        <f t="shared" ref="S20" si="42">MIN($B20,_xlfn.XLOOKUP($A20,agnos,tope_base)*UF)*12*I20*$X$2</f>
        <v>0</v>
      </c>
      <c r="T20" s="54">
        <f t="shared" ref="T20" si="43">MIN($B20,_xlfn.XLOOKUP($A20,agnos,tope_base)*UF)*12*J20*$X$2</f>
        <v>0</v>
      </c>
      <c r="U20" s="47"/>
      <c r="V20" s="47"/>
      <c r="W20" s="47"/>
      <c r="X20" s="70">
        <f t="shared" si="25"/>
        <v>0</v>
      </c>
      <c r="Y20" s="70">
        <f t="shared" si="26"/>
        <v>0</v>
      </c>
      <c r="Z20" s="70">
        <f t="shared" si="27"/>
        <v>0</v>
      </c>
      <c r="AA20" s="70">
        <f t="shared" si="28"/>
        <v>0</v>
      </c>
      <c r="AG20" s="52">
        <f t="shared" si="15"/>
        <v>0</v>
      </c>
      <c r="AH20" s="52">
        <f t="shared" si="16"/>
        <v>0</v>
      </c>
      <c r="AI20" s="52">
        <f t="shared" si="17"/>
        <v>0</v>
      </c>
      <c r="AJ20" s="52">
        <f t="shared" si="18"/>
        <v>0</v>
      </c>
      <c r="AK20" s="30"/>
      <c r="AL20" s="30"/>
      <c r="AM20" s="30"/>
      <c r="AN20" s="30"/>
      <c r="AO20" s="30"/>
      <c r="AP20" s="30"/>
      <c r="AS20" s="39"/>
      <c r="AT20" s="47"/>
      <c r="AU20" s="47"/>
      <c r="AV20" s="52">
        <f t="shared" si="19"/>
        <v>0</v>
      </c>
      <c r="AW20" s="52">
        <f t="shared" si="20"/>
        <v>0</v>
      </c>
      <c r="AX20" s="39"/>
      <c r="AY20" s="39"/>
    </row>
    <row r="21" spans="1:51" x14ac:dyDescent="0.25">
      <c r="A21" s="30">
        <v>1986</v>
      </c>
      <c r="B21" s="33">
        <f>w_uf*UF*Parámetros!C8</f>
        <v>355266.04053559707</v>
      </c>
      <c r="C21" s="30">
        <f t="shared" ref="C21" si="44">IF(AND(A21-a_nac&lt;=110,A21-a_nac&gt;0),A21-a_nac,"")</f>
        <v>7</v>
      </c>
      <c r="D21" s="30">
        <f>((A21=Inputs!$C$12)*(Inputs!$D$12) + (A21=Inputs!$C$13)*(Inputs!$D$13) + (A21=Inputs!$C$14)*(Inputs!$D$14)) *(A21 &gt;= a_afil)*(A21&gt;=2024)</f>
        <v>0</v>
      </c>
      <c r="E21" s="30">
        <v>0</v>
      </c>
      <c r="F21" s="30">
        <f t="shared" si="8"/>
        <v>0</v>
      </c>
      <c r="G21" s="30">
        <f t="shared" si="9"/>
        <v>0</v>
      </c>
      <c r="H21" s="30">
        <v>0.56100928783416748</v>
      </c>
      <c r="I21" s="37">
        <f t="shared" si="10"/>
        <v>0</v>
      </c>
      <c r="J21" s="37">
        <f t="shared" si="11"/>
        <v>0</v>
      </c>
      <c r="K21" s="84"/>
      <c r="L21" s="71"/>
      <c r="M21" s="87"/>
      <c r="N21" s="47"/>
      <c r="O21" s="47"/>
      <c r="P21" s="47"/>
      <c r="Q21" s="54">
        <f t="shared" ref="Q21" si="45">MIN($B21,_xlfn.XLOOKUP($A21,agnos,tope_base)*UF)*12*I21*$X$2</f>
        <v>0</v>
      </c>
      <c r="R21" s="54">
        <f t="shared" ref="R21" si="46">MIN($B21,_xlfn.XLOOKUP($A21,agnos,tope_base)*UF)*12*J21*$X$2</f>
        <v>0</v>
      </c>
      <c r="S21" s="54">
        <f t="shared" ref="S21" si="47">MIN($B21,_xlfn.XLOOKUP($A21,agnos,tope_base)*UF)*12*I21*$X$2</f>
        <v>0</v>
      </c>
      <c r="T21" s="54">
        <f t="shared" ref="T21" si="48">MIN($B21,_xlfn.XLOOKUP($A21,agnos,tope_base)*UF)*12*J21*$X$2</f>
        <v>0</v>
      </c>
      <c r="U21" s="47"/>
      <c r="V21" s="47"/>
      <c r="W21" s="47"/>
      <c r="X21" s="70">
        <f t="shared" si="25"/>
        <v>0</v>
      </c>
      <c r="Y21" s="70">
        <f t="shared" si="26"/>
        <v>0</v>
      </c>
      <c r="Z21" s="70">
        <f t="shared" si="27"/>
        <v>0</v>
      </c>
      <c r="AA21" s="70">
        <f t="shared" si="28"/>
        <v>0</v>
      </c>
      <c r="AG21" s="52">
        <f t="shared" si="15"/>
        <v>0</v>
      </c>
      <c r="AH21" s="52">
        <f t="shared" si="16"/>
        <v>0</v>
      </c>
      <c r="AI21" s="52">
        <f t="shared" si="17"/>
        <v>0</v>
      </c>
      <c r="AJ21" s="52">
        <f t="shared" si="18"/>
        <v>0</v>
      </c>
      <c r="AK21" s="30"/>
      <c r="AL21" s="30"/>
      <c r="AM21" s="30"/>
      <c r="AN21" s="30"/>
      <c r="AO21" s="30"/>
      <c r="AP21" s="30"/>
      <c r="AS21" s="39"/>
      <c r="AT21" s="47"/>
      <c r="AU21" s="47"/>
      <c r="AV21" s="52">
        <f t="shared" si="19"/>
        <v>0</v>
      </c>
      <c r="AW21" s="52">
        <f t="shared" si="20"/>
        <v>0</v>
      </c>
      <c r="AX21" s="39"/>
      <c r="AY21" s="39"/>
    </row>
    <row r="22" spans="1:51" x14ac:dyDescent="0.25">
      <c r="A22" s="30">
        <v>1987</v>
      </c>
      <c r="B22" s="33">
        <f>w_uf*UF*Parámetros!C9</f>
        <v>359257.97682883986</v>
      </c>
      <c r="C22" s="30">
        <f t="shared" ref="C22" si="49">IF(AND(A22-a_nac&lt;=110,A22-a_nac&gt;0),A22-a_nac,"")</f>
        <v>8</v>
      </c>
      <c r="D22" s="30">
        <f>((A22=Inputs!$C$12)*(Inputs!$D$12) + (A22=Inputs!$C$13)*(Inputs!$D$13) + (A22=Inputs!$C$14)*(Inputs!$D$14)) *(A22 &gt;= a_afil)*(A22&gt;=2024)</f>
        <v>0</v>
      </c>
      <c r="E22" s="30">
        <v>0</v>
      </c>
      <c r="F22" s="30">
        <f t="shared" si="8"/>
        <v>0</v>
      </c>
      <c r="G22" s="30">
        <f t="shared" si="9"/>
        <v>0</v>
      </c>
      <c r="H22" s="30">
        <v>0.21673351526260376</v>
      </c>
      <c r="I22" s="37">
        <f t="shared" si="10"/>
        <v>0</v>
      </c>
      <c r="J22" s="37">
        <f t="shared" si="11"/>
        <v>0</v>
      </c>
      <c r="K22" s="84"/>
      <c r="L22" s="71"/>
      <c r="M22" s="87"/>
      <c r="N22" s="47"/>
      <c r="O22" s="47"/>
      <c r="P22" s="47"/>
      <c r="Q22" s="54">
        <f t="shared" ref="Q22" si="50">MIN($B22,_xlfn.XLOOKUP($A22,agnos,tope_base)*UF)*12*I22*$X$2</f>
        <v>0</v>
      </c>
      <c r="R22" s="54">
        <f t="shared" ref="R22" si="51">MIN($B22,_xlfn.XLOOKUP($A22,agnos,tope_base)*UF)*12*J22*$X$2</f>
        <v>0</v>
      </c>
      <c r="S22" s="54">
        <f t="shared" ref="S22" si="52">MIN($B22,_xlfn.XLOOKUP($A22,agnos,tope_base)*UF)*12*I22*$X$2</f>
        <v>0</v>
      </c>
      <c r="T22" s="54">
        <f t="shared" ref="T22" si="53">MIN($B22,_xlfn.XLOOKUP($A22,agnos,tope_base)*UF)*12*J22*$X$2</f>
        <v>0</v>
      </c>
      <c r="U22" s="47"/>
      <c r="V22" s="47"/>
      <c r="W22" s="47"/>
      <c r="X22" s="70">
        <f t="shared" si="25"/>
        <v>0</v>
      </c>
      <c r="Y22" s="70">
        <f t="shared" si="26"/>
        <v>0</v>
      </c>
      <c r="Z22" s="70">
        <f t="shared" si="27"/>
        <v>0</v>
      </c>
      <c r="AA22" s="70">
        <f t="shared" si="28"/>
        <v>0</v>
      </c>
      <c r="AG22" s="52">
        <f t="shared" si="15"/>
        <v>0</v>
      </c>
      <c r="AH22" s="52">
        <f t="shared" si="16"/>
        <v>0</v>
      </c>
      <c r="AI22" s="52">
        <f t="shared" si="17"/>
        <v>0</v>
      </c>
      <c r="AJ22" s="52">
        <f t="shared" si="18"/>
        <v>0</v>
      </c>
      <c r="AK22" s="30"/>
      <c r="AL22" s="30"/>
      <c r="AM22" s="30"/>
      <c r="AN22" s="30"/>
      <c r="AO22" s="30"/>
      <c r="AP22" s="30"/>
      <c r="AS22" s="39"/>
      <c r="AT22" s="47"/>
      <c r="AU22" s="47"/>
      <c r="AV22" s="52">
        <f t="shared" si="19"/>
        <v>0</v>
      </c>
      <c r="AW22" s="52">
        <f t="shared" si="20"/>
        <v>0</v>
      </c>
      <c r="AX22" s="39"/>
      <c r="AY22" s="39"/>
    </row>
    <row r="23" spans="1:51" x14ac:dyDescent="0.25">
      <c r="A23" s="30">
        <v>1988</v>
      </c>
      <c r="B23" s="33">
        <f>w_uf*UF*Parámetros!C10</f>
        <v>360615.50271978014</v>
      </c>
      <c r="C23" s="30">
        <f t="shared" ref="C23" si="54">IF(AND(A23-a_nac&lt;=110,A23-a_nac&gt;0),A23-a_nac,"")</f>
        <v>9</v>
      </c>
      <c r="D23" s="30">
        <f>((A23=Inputs!$C$12)*(Inputs!$D$12) + (A23=Inputs!$C$13)*(Inputs!$D$13) + (A23=Inputs!$C$14)*(Inputs!$D$14)) *(A23 &gt;= a_afil)*(A23&gt;=2024)</f>
        <v>0</v>
      </c>
      <c r="E23" s="30">
        <v>0</v>
      </c>
      <c r="F23" s="30">
        <f t="shared" si="8"/>
        <v>0</v>
      </c>
      <c r="G23" s="30">
        <f t="shared" si="9"/>
        <v>0</v>
      </c>
      <c r="H23" s="30">
        <v>0.46800565719604492</v>
      </c>
      <c r="I23" s="37">
        <f t="shared" si="10"/>
        <v>0</v>
      </c>
      <c r="J23" s="37">
        <f t="shared" si="11"/>
        <v>0</v>
      </c>
      <c r="K23" s="84"/>
      <c r="L23" s="71"/>
      <c r="M23" s="87"/>
      <c r="N23" s="47"/>
      <c r="O23" s="47"/>
      <c r="P23" s="47"/>
      <c r="Q23" s="54">
        <f t="shared" ref="Q23" si="55">MIN($B23,_xlfn.XLOOKUP($A23,agnos,tope_base)*UF)*12*I23*$X$2</f>
        <v>0</v>
      </c>
      <c r="R23" s="54">
        <f t="shared" ref="R23" si="56">MIN($B23,_xlfn.XLOOKUP($A23,agnos,tope_base)*UF)*12*J23*$X$2</f>
        <v>0</v>
      </c>
      <c r="S23" s="54">
        <f t="shared" ref="S23" si="57">MIN($B23,_xlfn.XLOOKUP($A23,agnos,tope_base)*UF)*12*I23*$X$2</f>
        <v>0</v>
      </c>
      <c r="T23" s="54">
        <f t="shared" ref="T23" si="58">MIN($B23,_xlfn.XLOOKUP($A23,agnos,tope_base)*UF)*12*J23*$X$2</f>
        <v>0</v>
      </c>
      <c r="U23" s="47"/>
      <c r="V23" s="47"/>
      <c r="W23" s="47"/>
      <c r="X23" s="70">
        <f t="shared" si="25"/>
        <v>0</v>
      </c>
      <c r="Y23" s="70">
        <f t="shared" si="26"/>
        <v>0</v>
      </c>
      <c r="Z23" s="70">
        <f t="shared" si="27"/>
        <v>0</v>
      </c>
      <c r="AA23" s="70">
        <f t="shared" si="28"/>
        <v>0</v>
      </c>
      <c r="AG23" s="52">
        <f t="shared" si="15"/>
        <v>0</v>
      </c>
      <c r="AH23" s="52">
        <f t="shared" si="16"/>
        <v>0</v>
      </c>
      <c r="AI23" s="52">
        <f t="shared" si="17"/>
        <v>0</v>
      </c>
      <c r="AJ23" s="52">
        <f t="shared" si="18"/>
        <v>0</v>
      </c>
      <c r="AK23" s="30"/>
      <c r="AL23" s="30"/>
      <c r="AM23" s="30"/>
      <c r="AN23" s="30"/>
      <c r="AO23" s="30"/>
      <c r="AP23" s="30"/>
      <c r="AS23" s="39"/>
      <c r="AT23" s="47"/>
      <c r="AU23" s="47"/>
      <c r="AV23" s="52">
        <f t="shared" si="19"/>
        <v>0</v>
      </c>
      <c r="AW23" s="52">
        <f t="shared" si="20"/>
        <v>0</v>
      </c>
      <c r="AX23" s="39"/>
      <c r="AY23" s="39"/>
    </row>
    <row r="24" spans="1:51" x14ac:dyDescent="0.25">
      <c r="A24" s="30">
        <v>1989</v>
      </c>
      <c r="B24" s="33">
        <f>w_uf*UF*Parámetros!C11</f>
        <v>380483.57160776353</v>
      </c>
      <c r="C24" s="30">
        <f t="shared" ref="C24" si="59">IF(AND(A24-a_nac&lt;=110,A24-a_nac&gt;0),A24-a_nac,"")</f>
        <v>10</v>
      </c>
      <c r="D24" s="30">
        <f>((A24=Inputs!$C$12)*(Inputs!$D$12) + (A24=Inputs!$C$13)*(Inputs!$D$13) + (A24=Inputs!$C$14)*(Inputs!$D$14)) *(A24 &gt;= a_afil)*(A24&gt;=2024)</f>
        <v>0</v>
      </c>
      <c r="E24" s="30">
        <v>0</v>
      </c>
      <c r="F24" s="30">
        <f t="shared" si="8"/>
        <v>0</v>
      </c>
      <c r="G24" s="30">
        <f t="shared" si="9"/>
        <v>0</v>
      </c>
      <c r="H24" s="30">
        <v>0.74635475873947144</v>
      </c>
      <c r="I24" s="37">
        <f t="shared" si="10"/>
        <v>0</v>
      </c>
      <c r="J24" s="37">
        <f t="shared" si="11"/>
        <v>0</v>
      </c>
      <c r="K24" s="84"/>
      <c r="L24" s="71"/>
      <c r="M24" s="87"/>
      <c r="N24" s="47"/>
      <c r="O24" s="47"/>
      <c r="P24" s="47"/>
      <c r="Q24" s="54">
        <f t="shared" ref="Q24" si="60">MIN($B24,_xlfn.XLOOKUP($A24,agnos,tope_base)*UF)*12*I24*$X$2</f>
        <v>0</v>
      </c>
      <c r="R24" s="54">
        <f t="shared" ref="R24" si="61">MIN($B24,_xlfn.XLOOKUP($A24,agnos,tope_base)*UF)*12*J24*$X$2</f>
        <v>0</v>
      </c>
      <c r="S24" s="54">
        <f t="shared" ref="S24" si="62">MIN($B24,_xlfn.XLOOKUP($A24,agnos,tope_base)*UF)*12*I24*$X$2</f>
        <v>0</v>
      </c>
      <c r="T24" s="54">
        <f t="shared" ref="T24" si="63">MIN($B24,_xlfn.XLOOKUP($A24,agnos,tope_base)*UF)*12*J24*$X$2</f>
        <v>0</v>
      </c>
      <c r="U24" s="47"/>
      <c r="V24" s="47"/>
      <c r="W24" s="47"/>
      <c r="X24" s="70">
        <f t="shared" si="25"/>
        <v>0</v>
      </c>
      <c r="Y24" s="70">
        <f t="shared" si="26"/>
        <v>0</v>
      </c>
      <c r="Z24" s="70">
        <f t="shared" si="27"/>
        <v>0</v>
      </c>
      <c r="AA24" s="70">
        <f t="shared" si="28"/>
        <v>0</v>
      </c>
      <c r="AG24" s="52">
        <f t="shared" si="15"/>
        <v>0</v>
      </c>
      <c r="AH24" s="52">
        <f t="shared" si="16"/>
        <v>0</v>
      </c>
      <c r="AI24" s="52">
        <f t="shared" si="17"/>
        <v>0</v>
      </c>
      <c r="AJ24" s="52">
        <f t="shared" si="18"/>
        <v>0</v>
      </c>
      <c r="AK24" s="30"/>
      <c r="AL24" s="30"/>
      <c r="AM24" s="30"/>
      <c r="AN24" s="30"/>
      <c r="AO24" s="30"/>
      <c r="AP24" s="30"/>
      <c r="AS24" s="39"/>
      <c r="AT24" s="47"/>
      <c r="AU24" s="47"/>
      <c r="AV24" s="52">
        <f t="shared" si="19"/>
        <v>0</v>
      </c>
      <c r="AW24" s="52">
        <f t="shared" si="20"/>
        <v>0</v>
      </c>
      <c r="AX24" s="39"/>
      <c r="AY24" s="39"/>
    </row>
    <row r="25" spans="1:51" x14ac:dyDescent="0.25">
      <c r="A25" s="30">
        <v>1990</v>
      </c>
      <c r="B25" s="33">
        <f>w_uf*UF*Parámetros!C12</f>
        <v>391749.31518672069</v>
      </c>
      <c r="C25" s="30">
        <f t="shared" ref="C25" si="64">IF(AND(A25-a_nac&lt;=110,A25-a_nac&gt;0),A25-a_nac,"")</f>
        <v>11</v>
      </c>
      <c r="D25" s="30">
        <f>((A25=Inputs!$C$12)*(Inputs!$D$12) + (A25=Inputs!$C$13)*(Inputs!$D$13) + (A25=Inputs!$C$14)*(Inputs!$D$14)) *(A25 &gt;= a_afil)*(A25&gt;=2024)</f>
        <v>0</v>
      </c>
      <c r="E25" s="30">
        <v>0</v>
      </c>
      <c r="F25" s="30">
        <f t="shared" si="8"/>
        <v>0</v>
      </c>
      <c r="G25" s="30">
        <f t="shared" si="9"/>
        <v>0</v>
      </c>
      <c r="H25" s="30">
        <v>0.75231087207794189</v>
      </c>
      <c r="I25" s="37">
        <f t="shared" si="10"/>
        <v>0</v>
      </c>
      <c r="J25" s="37">
        <f t="shared" si="11"/>
        <v>0</v>
      </c>
      <c r="K25" s="84"/>
      <c r="L25" s="71"/>
      <c r="M25" s="87"/>
      <c r="N25" s="47"/>
      <c r="O25" s="47"/>
      <c r="P25" s="47"/>
      <c r="Q25" s="54">
        <f t="shared" ref="Q25" si="65">MIN($B25,_xlfn.XLOOKUP($A25,agnos,tope_base)*UF)*12*I25*$X$2</f>
        <v>0</v>
      </c>
      <c r="R25" s="54">
        <f t="shared" ref="R25" si="66">MIN($B25,_xlfn.XLOOKUP($A25,agnos,tope_base)*UF)*12*J25*$X$2</f>
        <v>0</v>
      </c>
      <c r="S25" s="54">
        <f t="shared" ref="S25" si="67">MIN($B25,_xlfn.XLOOKUP($A25,agnos,tope_base)*UF)*12*I25*$X$2</f>
        <v>0</v>
      </c>
      <c r="T25" s="54">
        <f t="shared" ref="T25" si="68">MIN($B25,_xlfn.XLOOKUP($A25,agnos,tope_base)*UF)*12*J25*$X$2</f>
        <v>0</v>
      </c>
      <c r="U25" s="47"/>
      <c r="V25" s="47"/>
      <c r="W25" s="47"/>
      <c r="X25" s="70">
        <f t="shared" si="25"/>
        <v>0</v>
      </c>
      <c r="Y25" s="70">
        <f t="shared" si="26"/>
        <v>0</v>
      </c>
      <c r="Z25" s="70">
        <f t="shared" si="27"/>
        <v>0</v>
      </c>
      <c r="AA25" s="70">
        <f t="shared" si="28"/>
        <v>0</v>
      </c>
      <c r="AG25" s="52">
        <f t="shared" si="15"/>
        <v>0</v>
      </c>
      <c r="AH25" s="52">
        <f t="shared" si="16"/>
        <v>0</v>
      </c>
      <c r="AI25" s="52">
        <f t="shared" si="17"/>
        <v>0</v>
      </c>
      <c r="AJ25" s="52">
        <f t="shared" si="18"/>
        <v>0</v>
      </c>
      <c r="AK25" s="30"/>
      <c r="AL25" s="30"/>
      <c r="AM25" s="30"/>
      <c r="AN25" s="30"/>
      <c r="AO25" s="30"/>
      <c r="AP25" s="30"/>
      <c r="AS25" s="39"/>
      <c r="AT25" s="47"/>
      <c r="AU25" s="47"/>
      <c r="AV25" s="52">
        <f t="shared" si="19"/>
        <v>0</v>
      </c>
      <c r="AW25" s="52">
        <f t="shared" si="20"/>
        <v>0</v>
      </c>
      <c r="AX25" s="39"/>
      <c r="AY25" s="39"/>
    </row>
    <row r="26" spans="1:51" x14ac:dyDescent="0.25">
      <c r="A26" s="30">
        <v>1991</v>
      </c>
      <c r="B26" s="33">
        <f>w_uf*UF*Parámetros!C13</f>
        <v>401198.74425541307</v>
      </c>
      <c r="C26" s="30">
        <f t="shared" ref="C26" si="69">IF(AND(A26-a_nac&lt;=110,A26-a_nac&gt;0),A26-a_nac,"")</f>
        <v>12</v>
      </c>
      <c r="D26" s="30">
        <f>((A26=Inputs!$C$12)*(Inputs!$D$12) + (A26=Inputs!$C$13)*(Inputs!$D$13) + (A26=Inputs!$C$14)*(Inputs!$D$14)) *(A26 &gt;= a_afil)*(A26&gt;=2024)</f>
        <v>0</v>
      </c>
      <c r="E26" s="30">
        <v>0</v>
      </c>
      <c r="F26" s="30">
        <f t="shared" si="8"/>
        <v>0</v>
      </c>
      <c r="G26" s="30">
        <f t="shared" si="9"/>
        <v>0</v>
      </c>
      <c r="H26" s="30">
        <v>0.39893227815628052</v>
      </c>
      <c r="I26" s="37">
        <f t="shared" si="10"/>
        <v>0</v>
      </c>
      <c r="J26" s="37">
        <f t="shared" si="11"/>
        <v>0</v>
      </c>
      <c r="K26" s="84"/>
      <c r="L26" s="71"/>
      <c r="M26" s="87"/>
      <c r="N26" s="47"/>
      <c r="O26" s="47"/>
      <c r="P26" s="47"/>
      <c r="Q26" s="54">
        <f t="shared" ref="Q26" si="70">MIN($B26,_xlfn.XLOOKUP($A26,agnos,tope_base)*UF)*12*I26*$X$2</f>
        <v>0</v>
      </c>
      <c r="R26" s="54">
        <f t="shared" ref="R26" si="71">MIN($B26,_xlfn.XLOOKUP($A26,agnos,tope_base)*UF)*12*J26*$X$2</f>
        <v>0</v>
      </c>
      <c r="S26" s="54">
        <f t="shared" ref="S26" si="72">MIN($B26,_xlfn.XLOOKUP($A26,agnos,tope_base)*UF)*12*I26*$X$2</f>
        <v>0</v>
      </c>
      <c r="T26" s="54">
        <f t="shared" ref="T26" si="73">MIN($B26,_xlfn.XLOOKUP($A26,agnos,tope_base)*UF)*12*J26*$X$2</f>
        <v>0</v>
      </c>
      <c r="U26" s="47"/>
      <c r="V26" s="47"/>
      <c r="W26" s="47"/>
      <c r="X26" s="70">
        <f t="shared" si="25"/>
        <v>0</v>
      </c>
      <c r="Y26" s="70">
        <f t="shared" si="26"/>
        <v>0</v>
      </c>
      <c r="Z26" s="70">
        <f t="shared" si="27"/>
        <v>0</v>
      </c>
      <c r="AA26" s="70">
        <f t="shared" si="28"/>
        <v>0</v>
      </c>
      <c r="AG26" s="52">
        <f t="shared" si="15"/>
        <v>0</v>
      </c>
      <c r="AH26" s="52">
        <f t="shared" si="16"/>
        <v>0</v>
      </c>
      <c r="AI26" s="52">
        <f t="shared" si="17"/>
        <v>0</v>
      </c>
      <c r="AJ26" s="52">
        <f t="shared" si="18"/>
        <v>0</v>
      </c>
      <c r="AK26" s="30"/>
      <c r="AL26" s="30"/>
      <c r="AM26" s="30"/>
      <c r="AN26" s="30"/>
      <c r="AO26" s="30"/>
      <c r="AP26" s="30"/>
      <c r="AS26" s="39"/>
      <c r="AT26" s="47"/>
      <c r="AU26" s="47"/>
      <c r="AV26" s="52">
        <f t="shared" si="19"/>
        <v>0</v>
      </c>
      <c r="AW26" s="52">
        <f t="shared" si="20"/>
        <v>0</v>
      </c>
      <c r="AX26" s="39"/>
      <c r="AY26" s="39"/>
    </row>
    <row r="27" spans="1:51" x14ac:dyDescent="0.25">
      <c r="A27" s="30">
        <v>1992</v>
      </c>
      <c r="B27" s="33">
        <f>w_uf*UF*Parámetros!C14</f>
        <v>418002.87828180124</v>
      </c>
      <c r="C27" s="30">
        <f t="shared" ref="C27" si="74">IF(AND(A27-a_nac&lt;=110,A27-a_nac&gt;0),A27-a_nac,"")</f>
        <v>13</v>
      </c>
      <c r="D27" s="30">
        <f>((A27=Inputs!$C$12)*(Inputs!$D$12) + (A27=Inputs!$C$13)*(Inputs!$D$13) + (A27=Inputs!$C$14)*(Inputs!$D$14)) *(A27 &gt;= a_afil)*(A27&gt;=2024)</f>
        <v>0</v>
      </c>
      <c r="E27" s="30">
        <v>0</v>
      </c>
      <c r="F27" s="30">
        <f t="shared" si="8"/>
        <v>0</v>
      </c>
      <c r="G27" s="30">
        <f t="shared" si="9"/>
        <v>0</v>
      </c>
      <c r="H27" s="30">
        <v>0.90309882164001465</v>
      </c>
      <c r="I27" s="37">
        <f t="shared" si="10"/>
        <v>0</v>
      </c>
      <c r="J27" s="37">
        <f t="shared" si="11"/>
        <v>0</v>
      </c>
      <c r="K27" s="84"/>
      <c r="L27" s="71"/>
      <c r="M27" s="87"/>
      <c r="N27" s="47"/>
      <c r="O27" s="47"/>
      <c r="P27" s="47"/>
      <c r="Q27" s="54">
        <f t="shared" ref="Q27" si="75">MIN($B27,_xlfn.XLOOKUP($A27,agnos,tope_base)*UF)*12*I27*$X$2</f>
        <v>0</v>
      </c>
      <c r="R27" s="54">
        <f t="shared" ref="R27" si="76">MIN($B27,_xlfn.XLOOKUP($A27,agnos,tope_base)*UF)*12*J27*$X$2</f>
        <v>0</v>
      </c>
      <c r="S27" s="54">
        <f t="shared" ref="S27" si="77">MIN($B27,_xlfn.XLOOKUP($A27,agnos,tope_base)*UF)*12*I27*$X$2</f>
        <v>0</v>
      </c>
      <c r="T27" s="54">
        <f t="shared" ref="T27" si="78">MIN($B27,_xlfn.XLOOKUP($A27,agnos,tope_base)*UF)*12*J27*$X$2</f>
        <v>0</v>
      </c>
      <c r="U27" s="47"/>
      <c r="V27" s="47"/>
      <c r="W27" s="47"/>
      <c r="X27" s="70">
        <f t="shared" si="25"/>
        <v>0</v>
      </c>
      <c r="Y27" s="70">
        <f t="shared" si="26"/>
        <v>0</v>
      </c>
      <c r="Z27" s="70">
        <f t="shared" si="27"/>
        <v>0</v>
      </c>
      <c r="AA27" s="70">
        <f t="shared" si="28"/>
        <v>0</v>
      </c>
      <c r="AG27" s="52">
        <f t="shared" si="15"/>
        <v>0</v>
      </c>
      <c r="AH27" s="52">
        <f t="shared" si="16"/>
        <v>0</v>
      </c>
      <c r="AI27" s="52">
        <f t="shared" si="17"/>
        <v>0</v>
      </c>
      <c r="AJ27" s="52">
        <f t="shared" si="18"/>
        <v>0</v>
      </c>
      <c r="AK27" s="30"/>
      <c r="AL27" s="30"/>
      <c r="AM27" s="30"/>
      <c r="AN27" s="30"/>
      <c r="AO27" s="30"/>
      <c r="AP27" s="30"/>
      <c r="AS27" s="39"/>
      <c r="AT27" s="47"/>
      <c r="AU27" s="47"/>
      <c r="AV27" s="52">
        <f t="shared" si="19"/>
        <v>0</v>
      </c>
      <c r="AW27" s="52">
        <f t="shared" si="20"/>
        <v>0</v>
      </c>
      <c r="AX27" s="39"/>
      <c r="AY27" s="39"/>
    </row>
    <row r="28" spans="1:51" x14ac:dyDescent="0.25">
      <c r="A28" s="30">
        <v>1993</v>
      </c>
      <c r="B28" s="33">
        <f>w_uf*UF*Parámetros!C15</f>
        <v>435209.71654134156</v>
      </c>
      <c r="C28" s="30">
        <f t="shared" ref="C28" si="79">IF(AND(A28-a_nac&lt;=110,A28-a_nac&gt;0),A28-a_nac,"")</f>
        <v>14</v>
      </c>
      <c r="D28" s="30">
        <f>((A28=Inputs!$C$12)*(Inputs!$D$12) + (A28=Inputs!$C$13)*(Inputs!$D$13) + (A28=Inputs!$C$14)*(Inputs!$D$14)) *(A28 &gt;= a_afil)*(A28&gt;=2024)</f>
        <v>0</v>
      </c>
      <c r="E28" s="30">
        <v>0</v>
      </c>
      <c r="F28" s="30">
        <f t="shared" si="8"/>
        <v>0</v>
      </c>
      <c r="G28" s="30">
        <f t="shared" si="9"/>
        <v>0</v>
      </c>
      <c r="H28" s="30">
        <v>0.74600690603256226</v>
      </c>
      <c r="I28" s="37">
        <f t="shared" si="10"/>
        <v>0</v>
      </c>
      <c r="J28" s="37">
        <f t="shared" si="11"/>
        <v>0</v>
      </c>
      <c r="K28" s="84"/>
      <c r="L28" s="71"/>
      <c r="M28" s="87"/>
      <c r="N28" s="47"/>
      <c r="O28" s="47"/>
      <c r="P28" s="47"/>
      <c r="Q28" s="54">
        <f t="shared" ref="Q28" si="80">MIN($B28,_xlfn.XLOOKUP($A28,agnos,tope_base)*UF)*12*I28*$X$2</f>
        <v>0</v>
      </c>
      <c r="R28" s="54">
        <f t="shared" ref="R28" si="81">MIN($B28,_xlfn.XLOOKUP($A28,agnos,tope_base)*UF)*12*J28*$X$2</f>
        <v>0</v>
      </c>
      <c r="S28" s="54">
        <f t="shared" ref="S28" si="82">MIN($B28,_xlfn.XLOOKUP($A28,agnos,tope_base)*UF)*12*I28*$X$2</f>
        <v>0</v>
      </c>
      <c r="T28" s="54">
        <f t="shared" ref="T28" si="83">MIN($B28,_xlfn.XLOOKUP($A28,agnos,tope_base)*UF)*12*J28*$X$2</f>
        <v>0</v>
      </c>
      <c r="U28" s="47"/>
      <c r="V28" s="47"/>
      <c r="W28" s="47"/>
      <c r="X28" s="70">
        <f t="shared" si="25"/>
        <v>0</v>
      </c>
      <c r="Y28" s="70">
        <f t="shared" si="26"/>
        <v>0</v>
      </c>
      <c r="Z28" s="70">
        <f t="shared" si="27"/>
        <v>0</v>
      </c>
      <c r="AA28" s="70">
        <f t="shared" si="28"/>
        <v>0</v>
      </c>
      <c r="AG28" s="52">
        <f t="shared" si="15"/>
        <v>0</v>
      </c>
      <c r="AH28" s="52">
        <f t="shared" si="16"/>
        <v>0</v>
      </c>
      <c r="AI28" s="52">
        <f t="shared" si="17"/>
        <v>0</v>
      </c>
      <c r="AJ28" s="52">
        <f t="shared" si="18"/>
        <v>0</v>
      </c>
      <c r="AK28" s="30"/>
      <c r="AL28" s="30"/>
      <c r="AM28" s="30"/>
      <c r="AN28" s="30"/>
      <c r="AO28" s="30"/>
      <c r="AP28" s="30"/>
      <c r="AS28" s="39"/>
      <c r="AT28" s="47"/>
      <c r="AU28" s="47"/>
      <c r="AV28" s="52">
        <f t="shared" si="19"/>
        <v>0</v>
      </c>
      <c r="AW28" s="52">
        <f t="shared" si="20"/>
        <v>0</v>
      </c>
      <c r="AX28" s="39"/>
      <c r="AY28" s="39"/>
    </row>
    <row r="29" spans="1:51" x14ac:dyDescent="0.25">
      <c r="A29" s="30">
        <v>1994</v>
      </c>
      <c r="B29" s="33">
        <f>w_uf*UF*Parámetros!C16</f>
        <v>450251.23358828295</v>
      </c>
      <c r="C29" s="30">
        <f t="shared" ref="C29" si="84">IF(AND(A29-a_nac&lt;=110,A29-a_nac&gt;0),A29-a_nac,"")</f>
        <v>15</v>
      </c>
      <c r="D29" s="30">
        <f>((A29=Inputs!$C$12)*(Inputs!$D$12) + (A29=Inputs!$C$13)*(Inputs!$D$13) + (A29=Inputs!$C$14)*(Inputs!$D$14)) *(A29 &gt;= a_afil)*(A29&gt;=2024)</f>
        <v>0</v>
      </c>
      <c r="E29" s="30">
        <v>0</v>
      </c>
      <c r="F29" s="30">
        <f t="shared" si="8"/>
        <v>0</v>
      </c>
      <c r="G29" s="30">
        <f t="shared" si="9"/>
        <v>0</v>
      </c>
      <c r="H29" s="30">
        <v>8.8559508323669434E-2</v>
      </c>
      <c r="I29" s="37">
        <f t="shared" si="10"/>
        <v>0</v>
      </c>
      <c r="J29" s="37">
        <f t="shared" si="11"/>
        <v>0</v>
      </c>
      <c r="K29" s="84"/>
      <c r="L29" s="71"/>
      <c r="M29" s="87"/>
      <c r="N29" s="47"/>
      <c r="O29" s="47"/>
      <c r="P29" s="47"/>
      <c r="Q29" s="54">
        <f t="shared" ref="Q29" si="85">MIN($B29,_xlfn.XLOOKUP($A29,agnos,tope_base)*UF)*12*I29*$X$2</f>
        <v>0</v>
      </c>
      <c r="R29" s="54">
        <f t="shared" ref="R29" si="86">MIN($B29,_xlfn.XLOOKUP($A29,agnos,tope_base)*UF)*12*J29*$X$2</f>
        <v>0</v>
      </c>
      <c r="S29" s="54">
        <f t="shared" ref="S29" si="87">MIN($B29,_xlfn.XLOOKUP($A29,agnos,tope_base)*UF)*12*I29*$X$2</f>
        <v>0</v>
      </c>
      <c r="T29" s="54">
        <f t="shared" ref="T29" si="88">MIN($B29,_xlfn.XLOOKUP($A29,agnos,tope_base)*UF)*12*J29*$X$2</f>
        <v>0</v>
      </c>
      <c r="U29" s="47"/>
      <c r="V29" s="47"/>
      <c r="W29" s="47"/>
      <c r="X29" s="70">
        <f t="shared" si="25"/>
        <v>0</v>
      </c>
      <c r="Y29" s="70">
        <f t="shared" si="26"/>
        <v>0</v>
      </c>
      <c r="Z29" s="70">
        <f t="shared" si="27"/>
        <v>0</v>
      </c>
      <c r="AA29" s="70">
        <f t="shared" si="28"/>
        <v>0</v>
      </c>
      <c r="AG29" s="52">
        <f t="shared" si="15"/>
        <v>0</v>
      </c>
      <c r="AH29" s="52">
        <f t="shared" si="16"/>
        <v>0</v>
      </c>
      <c r="AI29" s="52">
        <f t="shared" si="17"/>
        <v>0</v>
      </c>
      <c r="AJ29" s="52">
        <f t="shared" si="18"/>
        <v>0</v>
      </c>
      <c r="AK29" s="30"/>
      <c r="AL29" s="30"/>
      <c r="AM29" s="30"/>
      <c r="AN29" s="30"/>
      <c r="AO29" s="30"/>
      <c r="AP29" s="30"/>
      <c r="AS29" s="39"/>
      <c r="AT29" s="47"/>
      <c r="AU29" s="47"/>
      <c r="AV29" s="52">
        <f t="shared" si="19"/>
        <v>0</v>
      </c>
      <c r="AW29" s="52">
        <f t="shared" si="20"/>
        <v>0</v>
      </c>
      <c r="AX29" s="39"/>
      <c r="AY29" s="39"/>
    </row>
    <row r="30" spans="1:51" x14ac:dyDescent="0.25">
      <c r="A30" s="30">
        <v>1995</v>
      </c>
      <c r="B30" s="33">
        <f>w_uf*UF*Parámetros!C17</f>
        <v>478018.08507792832</v>
      </c>
      <c r="C30" s="30">
        <f t="shared" ref="C30" si="89">IF(AND(A30-a_nac&lt;=110,A30-a_nac&gt;0),A30-a_nac,"")</f>
        <v>16</v>
      </c>
      <c r="D30" s="30">
        <f>((A30=Inputs!$C$12)*(Inputs!$D$12) + (A30=Inputs!$C$13)*(Inputs!$D$13) + (A30=Inputs!$C$14)*(Inputs!$D$14)) *(A30 &gt;= a_afil)*(A30&gt;=2024)</f>
        <v>0</v>
      </c>
      <c r="E30" s="30">
        <v>0</v>
      </c>
      <c r="F30" s="30">
        <f t="shared" si="8"/>
        <v>0</v>
      </c>
      <c r="G30" s="30">
        <f t="shared" si="9"/>
        <v>0</v>
      </c>
      <c r="H30" s="30">
        <v>0.6345711350440979</v>
      </c>
      <c r="I30" s="37">
        <f t="shared" si="10"/>
        <v>0</v>
      </c>
      <c r="J30" s="37">
        <f t="shared" si="11"/>
        <v>0</v>
      </c>
      <c r="K30" s="84"/>
      <c r="L30" s="71"/>
      <c r="M30" s="87"/>
      <c r="N30" s="47"/>
      <c r="O30" s="47"/>
      <c r="P30" s="47"/>
      <c r="Q30" s="54">
        <f t="shared" ref="Q30" si="90">MIN($B30,_xlfn.XLOOKUP($A30,agnos,tope_base)*UF)*12*I30*$X$2</f>
        <v>0</v>
      </c>
      <c r="R30" s="54">
        <f t="shared" ref="R30" si="91">MIN($B30,_xlfn.XLOOKUP($A30,agnos,tope_base)*UF)*12*J30*$X$2</f>
        <v>0</v>
      </c>
      <c r="S30" s="54">
        <f t="shared" ref="S30" si="92">MIN($B30,_xlfn.XLOOKUP($A30,agnos,tope_base)*UF)*12*I30*$X$2</f>
        <v>0</v>
      </c>
      <c r="T30" s="54">
        <f t="shared" ref="T30" si="93">MIN($B30,_xlfn.XLOOKUP($A30,agnos,tope_base)*UF)*12*J30*$X$2</f>
        <v>0</v>
      </c>
      <c r="U30" s="47"/>
      <c r="V30" s="47"/>
      <c r="W30" s="47"/>
      <c r="X30" s="70">
        <f t="shared" si="25"/>
        <v>0</v>
      </c>
      <c r="Y30" s="70">
        <f t="shared" si="26"/>
        <v>0</v>
      </c>
      <c r="Z30" s="70">
        <f t="shared" si="27"/>
        <v>0</v>
      </c>
      <c r="AA30" s="70">
        <f t="shared" si="28"/>
        <v>0</v>
      </c>
      <c r="AG30" s="52">
        <f t="shared" si="15"/>
        <v>0</v>
      </c>
      <c r="AH30" s="52">
        <f t="shared" si="16"/>
        <v>0</v>
      </c>
      <c r="AI30" s="52">
        <f t="shared" si="17"/>
        <v>0</v>
      </c>
      <c r="AJ30" s="52">
        <f t="shared" si="18"/>
        <v>0</v>
      </c>
      <c r="AK30" s="30"/>
      <c r="AL30" s="30"/>
      <c r="AM30" s="30"/>
      <c r="AN30" s="30"/>
      <c r="AO30" s="30"/>
      <c r="AP30" s="30"/>
      <c r="AS30" s="39"/>
      <c r="AT30" s="47"/>
      <c r="AU30" s="47"/>
      <c r="AV30" s="52">
        <f t="shared" si="19"/>
        <v>0</v>
      </c>
      <c r="AW30" s="52">
        <f t="shared" si="20"/>
        <v>0</v>
      </c>
      <c r="AX30" s="39"/>
      <c r="AY30" s="39"/>
    </row>
    <row r="31" spans="1:51" x14ac:dyDescent="0.25">
      <c r="A31" s="30">
        <v>1996</v>
      </c>
      <c r="B31" s="33">
        <f>w_uf*UF*Parámetros!C18</f>
        <v>501097.41534671315</v>
      </c>
      <c r="C31" s="30">
        <f t="shared" ref="C31" si="94">IF(AND(A31-a_nac&lt;=110,A31-a_nac&gt;0),A31-a_nac,"")</f>
        <v>17</v>
      </c>
      <c r="D31" s="30">
        <f>((A31=Inputs!$C$12)*(Inputs!$D$12) + (A31=Inputs!$C$13)*(Inputs!$D$13) + (A31=Inputs!$C$14)*(Inputs!$D$14)) *(A31 &gt;= a_afil)*(A31&gt;=2024)</f>
        <v>0</v>
      </c>
      <c r="E31" s="30">
        <v>0</v>
      </c>
      <c r="F31" s="30">
        <f t="shared" si="8"/>
        <v>0</v>
      </c>
      <c r="G31" s="30">
        <f t="shared" si="9"/>
        <v>0</v>
      </c>
      <c r="H31" s="30">
        <v>0.7130279541015625</v>
      </c>
      <c r="I31" s="37">
        <f t="shared" si="10"/>
        <v>0</v>
      </c>
      <c r="J31" s="37">
        <f t="shared" si="11"/>
        <v>0</v>
      </c>
      <c r="K31" s="84"/>
      <c r="L31" s="71"/>
      <c r="M31" s="87"/>
      <c r="N31" s="47"/>
      <c r="O31" s="47"/>
      <c r="P31" s="47"/>
      <c r="Q31" s="54">
        <f t="shared" ref="Q31" si="95">MIN($B31,_xlfn.XLOOKUP($A31,agnos,tope_base)*UF)*12*I31*$X$2</f>
        <v>0</v>
      </c>
      <c r="R31" s="54">
        <f t="shared" ref="R31" si="96">MIN($B31,_xlfn.XLOOKUP($A31,agnos,tope_base)*UF)*12*J31*$X$2</f>
        <v>0</v>
      </c>
      <c r="S31" s="54">
        <f t="shared" ref="S31" si="97">MIN($B31,_xlfn.XLOOKUP($A31,agnos,tope_base)*UF)*12*I31*$X$2</f>
        <v>0</v>
      </c>
      <c r="T31" s="54">
        <f t="shared" ref="T31" si="98">MIN($B31,_xlfn.XLOOKUP($A31,agnos,tope_base)*UF)*12*J31*$X$2</f>
        <v>0</v>
      </c>
      <c r="U31" s="47"/>
      <c r="V31" s="47"/>
      <c r="W31" s="47"/>
      <c r="X31" s="70">
        <f t="shared" si="25"/>
        <v>0</v>
      </c>
      <c r="Y31" s="70">
        <f t="shared" si="26"/>
        <v>0</v>
      </c>
      <c r="Z31" s="70">
        <f t="shared" si="27"/>
        <v>0</v>
      </c>
      <c r="AA31" s="70">
        <f t="shared" si="28"/>
        <v>0</v>
      </c>
      <c r="AG31" s="52">
        <f t="shared" si="15"/>
        <v>0</v>
      </c>
      <c r="AH31" s="52">
        <f t="shared" si="16"/>
        <v>0</v>
      </c>
      <c r="AI31" s="52">
        <f t="shared" si="17"/>
        <v>0</v>
      </c>
      <c r="AJ31" s="52">
        <f t="shared" si="18"/>
        <v>0</v>
      </c>
      <c r="AK31" s="30"/>
      <c r="AL31" s="30"/>
      <c r="AM31" s="30"/>
      <c r="AN31" s="30"/>
      <c r="AO31" s="30"/>
      <c r="AP31" s="30"/>
      <c r="AS31" s="39"/>
      <c r="AT31" s="47"/>
      <c r="AU31" s="47"/>
      <c r="AV31" s="52">
        <f t="shared" si="19"/>
        <v>0</v>
      </c>
      <c r="AW31" s="52">
        <f t="shared" si="20"/>
        <v>0</v>
      </c>
      <c r="AX31" s="39"/>
      <c r="AY31" s="39"/>
    </row>
    <row r="32" spans="1:51" x14ac:dyDescent="0.25">
      <c r="A32" s="30">
        <v>1997</v>
      </c>
      <c r="B32" s="33">
        <f>w_uf*UF*Parámetros!C19</f>
        <v>521793.55390296044</v>
      </c>
      <c r="C32" s="30">
        <f t="shared" ref="C32" si="99">IF(AND(A32-a_nac&lt;=110,A32-a_nac&gt;0),A32-a_nac,"")</f>
        <v>18</v>
      </c>
      <c r="D32" s="30">
        <f>((A32=Inputs!$C$12)*(Inputs!$D$12) + (A32=Inputs!$C$13)*(Inputs!$D$13) + (A32=Inputs!$C$14)*(Inputs!$D$14)) *(A32 &gt;= a_afil)*(A32&gt;=2024)</f>
        <v>0</v>
      </c>
      <c r="E32" s="30">
        <v>0</v>
      </c>
      <c r="F32" s="30">
        <f t="shared" si="8"/>
        <v>0</v>
      </c>
      <c r="G32" s="30">
        <f t="shared" si="9"/>
        <v>0</v>
      </c>
      <c r="H32" s="30">
        <v>1.5682399272918701E-2</v>
      </c>
      <c r="I32" s="37">
        <f t="shared" si="10"/>
        <v>0</v>
      </c>
      <c r="J32" s="37">
        <f t="shared" si="11"/>
        <v>0</v>
      </c>
      <c r="K32" s="84"/>
      <c r="L32" s="71"/>
      <c r="M32" s="87"/>
      <c r="N32" s="47"/>
      <c r="O32" s="47"/>
      <c r="P32" s="47"/>
      <c r="Q32" s="54">
        <f t="shared" ref="Q32" si="100">MIN($B32,_xlfn.XLOOKUP($A32,agnos,tope_base)*UF)*12*I32*$X$2</f>
        <v>0</v>
      </c>
      <c r="R32" s="54">
        <f t="shared" ref="R32" si="101">MIN($B32,_xlfn.XLOOKUP($A32,agnos,tope_base)*UF)*12*J32*$X$2</f>
        <v>0</v>
      </c>
      <c r="S32" s="54">
        <f t="shared" ref="S32" si="102">MIN($B32,_xlfn.XLOOKUP($A32,agnos,tope_base)*UF)*12*I32*$X$2</f>
        <v>0</v>
      </c>
      <c r="T32" s="54">
        <f t="shared" ref="T32" si="103">MIN($B32,_xlfn.XLOOKUP($A32,agnos,tope_base)*UF)*12*J32*$X$2</f>
        <v>0</v>
      </c>
      <c r="U32" s="47"/>
      <c r="V32" s="47"/>
      <c r="W32" s="47"/>
      <c r="X32" s="70">
        <f t="shared" si="25"/>
        <v>0</v>
      </c>
      <c r="Y32" s="70">
        <f t="shared" si="26"/>
        <v>0</v>
      </c>
      <c r="Z32" s="70">
        <f t="shared" si="27"/>
        <v>0</v>
      </c>
      <c r="AA32" s="70">
        <f t="shared" si="28"/>
        <v>0</v>
      </c>
      <c r="AG32" s="52">
        <f t="shared" si="15"/>
        <v>0</v>
      </c>
      <c r="AH32" s="52">
        <f t="shared" si="16"/>
        <v>0</v>
      </c>
      <c r="AI32" s="52">
        <f t="shared" si="17"/>
        <v>0</v>
      </c>
      <c r="AJ32" s="52">
        <f t="shared" si="18"/>
        <v>0</v>
      </c>
      <c r="AK32" s="30"/>
      <c r="AL32" s="30"/>
      <c r="AM32" s="30"/>
      <c r="AN32" s="30"/>
      <c r="AO32" s="30"/>
      <c r="AP32" s="30"/>
      <c r="AS32" s="39"/>
      <c r="AT32" s="47"/>
      <c r="AU32" s="47"/>
      <c r="AV32" s="52">
        <f t="shared" si="19"/>
        <v>0</v>
      </c>
      <c r="AW32" s="52">
        <f t="shared" si="20"/>
        <v>0</v>
      </c>
      <c r="AX32" s="39"/>
      <c r="AY32" s="39"/>
    </row>
    <row r="33" spans="1:51" x14ac:dyDescent="0.25">
      <c r="A33" s="30">
        <v>1998</v>
      </c>
      <c r="B33" s="33">
        <f>w_uf*UF*Parámetros!C20</f>
        <v>534336.66817947384</v>
      </c>
      <c r="C33" s="30">
        <f t="shared" ref="C33" si="104">IF(AND(A33-a_nac&lt;=110,A33-a_nac&gt;0),A33-a_nac,"")</f>
        <v>19</v>
      </c>
      <c r="D33" s="30">
        <f>((A33=Inputs!$C$12)*(Inputs!$D$12) + (A33=Inputs!$C$13)*(Inputs!$D$13) + (A33=Inputs!$C$14)*(Inputs!$D$14)) *(A33 &gt;= a_afil)*(A33&gt;=2024)</f>
        <v>0</v>
      </c>
      <c r="E33" s="30">
        <v>0</v>
      </c>
      <c r="F33" s="30">
        <f t="shared" si="8"/>
        <v>0</v>
      </c>
      <c r="G33" s="30">
        <f t="shared" si="9"/>
        <v>0</v>
      </c>
      <c r="H33" s="30">
        <v>0.4311443567276001</v>
      </c>
      <c r="I33" s="37">
        <f t="shared" si="10"/>
        <v>0</v>
      </c>
      <c r="J33" s="37">
        <f t="shared" si="11"/>
        <v>0</v>
      </c>
      <c r="K33" s="84"/>
      <c r="L33" s="71"/>
      <c r="M33" s="87"/>
      <c r="N33" s="47"/>
      <c r="O33" s="47"/>
      <c r="P33" s="47"/>
      <c r="Q33" s="54">
        <f t="shared" ref="Q33" si="105">MIN($B33,_xlfn.XLOOKUP($A33,agnos,tope_base)*UF)*12*I33*$X$2</f>
        <v>0</v>
      </c>
      <c r="R33" s="54">
        <f t="shared" ref="R33" si="106">MIN($B33,_xlfn.XLOOKUP($A33,agnos,tope_base)*UF)*12*J33*$X$2</f>
        <v>0</v>
      </c>
      <c r="S33" s="54">
        <f t="shared" ref="S33" si="107">MIN($B33,_xlfn.XLOOKUP($A33,agnos,tope_base)*UF)*12*I33*$X$2</f>
        <v>0</v>
      </c>
      <c r="T33" s="54">
        <f t="shared" ref="T33" si="108">MIN($B33,_xlfn.XLOOKUP($A33,agnos,tope_base)*UF)*12*J33*$X$2</f>
        <v>0</v>
      </c>
      <c r="U33" s="47"/>
      <c r="V33" s="47"/>
      <c r="W33" s="47"/>
      <c r="X33" s="70">
        <f t="shared" si="25"/>
        <v>0</v>
      </c>
      <c r="Y33" s="70">
        <f t="shared" si="26"/>
        <v>0</v>
      </c>
      <c r="Z33" s="70">
        <f t="shared" si="27"/>
        <v>0</v>
      </c>
      <c r="AA33" s="70">
        <f t="shared" si="28"/>
        <v>0</v>
      </c>
      <c r="AG33" s="52">
        <f t="shared" si="15"/>
        <v>0</v>
      </c>
      <c r="AH33" s="52">
        <f t="shared" si="16"/>
        <v>0</v>
      </c>
      <c r="AI33" s="52">
        <f t="shared" si="17"/>
        <v>0</v>
      </c>
      <c r="AJ33" s="52">
        <f t="shared" si="18"/>
        <v>0</v>
      </c>
      <c r="AK33" s="30"/>
      <c r="AL33" s="30"/>
      <c r="AM33" s="30"/>
      <c r="AN33" s="30"/>
      <c r="AO33" s="30"/>
      <c r="AP33" s="30"/>
      <c r="AS33" s="39"/>
      <c r="AT33" s="47"/>
      <c r="AU33" s="47"/>
      <c r="AV33" s="52">
        <f t="shared" si="19"/>
        <v>0</v>
      </c>
      <c r="AW33" s="52">
        <f t="shared" si="20"/>
        <v>0</v>
      </c>
      <c r="AX33" s="39"/>
      <c r="AY33" s="39"/>
    </row>
    <row r="34" spans="1:51" x14ac:dyDescent="0.25">
      <c r="A34" s="30">
        <v>1999</v>
      </c>
      <c r="B34" s="33">
        <f>w_uf*UF*Parámetros!C21</f>
        <v>548510.38731193403</v>
      </c>
      <c r="C34" s="30">
        <f t="shared" ref="C34" si="109">IF(AND(A34-a_nac&lt;=110,A34-a_nac&gt;0),A34-a_nac,"")</f>
        <v>20</v>
      </c>
      <c r="D34" s="30">
        <f>((A34=Inputs!$C$12)*(Inputs!$D$12) + (A34=Inputs!$C$13)*(Inputs!$D$13) + (A34=Inputs!$C$14)*(Inputs!$D$14)) *(A34 &gt;= a_afil)*(A34&gt;=2024)</f>
        <v>0</v>
      </c>
      <c r="E34" s="30">
        <v>0</v>
      </c>
      <c r="F34" s="30">
        <f t="shared" si="8"/>
        <v>0</v>
      </c>
      <c r="G34" s="30">
        <f t="shared" si="9"/>
        <v>0</v>
      </c>
      <c r="H34" s="30">
        <v>0.40198260545730591</v>
      </c>
      <c r="I34" s="37">
        <f t="shared" si="10"/>
        <v>0</v>
      </c>
      <c r="J34" s="37">
        <f t="shared" si="11"/>
        <v>0</v>
      </c>
      <c r="K34" s="84"/>
      <c r="L34" s="71"/>
      <c r="M34" s="87"/>
      <c r="N34" s="47"/>
      <c r="O34" s="47"/>
      <c r="P34" s="47"/>
      <c r="Q34" s="54">
        <f t="shared" ref="Q34" si="110">MIN($B34,_xlfn.XLOOKUP($A34,agnos,tope_base)*UF)*12*I34*$X$2</f>
        <v>0</v>
      </c>
      <c r="R34" s="54">
        <f t="shared" ref="R34" si="111">MIN($B34,_xlfn.XLOOKUP($A34,agnos,tope_base)*UF)*12*J34*$X$2</f>
        <v>0</v>
      </c>
      <c r="S34" s="54">
        <f t="shared" ref="S34" si="112">MIN($B34,_xlfn.XLOOKUP($A34,agnos,tope_base)*UF)*12*I34*$X$2</f>
        <v>0</v>
      </c>
      <c r="T34" s="54">
        <f t="shared" ref="T34" si="113">MIN($B34,_xlfn.XLOOKUP($A34,agnos,tope_base)*UF)*12*J34*$X$2</f>
        <v>0</v>
      </c>
      <c r="U34" s="47"/>
      <c r="V34" s="47"/>
      <c r="W34" s="47"/>
      <c r="X34" s="70">
        <f t="shared" si="25"/>
        <v>0</v>
      </c>
      <c r="Y34" s="70">
        <f t="shared" si="26"/>
        <v>0</v>
      </c>
      <c r="Z34" s="70">
        <f t="shared" si="27"/>
        <v>0</v>
      </c>
      <c r="AA34" s="70">
        <f t="shared" si="28"/>
        <v>0</v>
      </c>
      <c r="AG34" s="52">
        <f t="shared" si="15"/>
        <v>0</v>
      </c>
      <c r="AH34" s="52">
        <f t="shared" si="16"/>
        <v>0</v>
      </c>
      <c r="AI34" s="52">
        <f t="shared" si="17"/>
        <v>0</v>
      </c>
      <c r="AJ34" s="52">
        <f t="shared" si="18"/>
        <v>0</v>
      </c>
      <c r="AK34" s="30"/>
      <c r="AL34" s="30"/>
      <c r="AM34" s="30"/>
      <c r="AN34" s="30"/>
      <c r="AO34" s="30"/>
      <c r="AP34" s="30"/>
      <c r="AS34" s="39"/>
      <c r="AT34" s="47"/>
      <c r="AU34" s="47"/>
      <c r="AV34" s="52">
        <f t="shared" si="19"/>
        <v>0</v>
      </c>
      <c r="AW34" s="52">
        <f t="shared" si="20"/>
        <v>0</v>
      </c>
      <c r="AX34" s="39"/>
      <c r="AY34" s="39"/>
    </row>
    <row r="35" spans="1:51" x14ac:dyDescent="0.25">
      <c r="A35" s="30">
        <v>2000</v>
      </c>
      <c r="B35" s="33">
        <f>w_uf*UF*Parámetros!C22</f>
        <v>561868.80401642085</v>
      </c>
      <c r="C35" s="30">
        <f t="shared" ref="C35" si="114">IF(AND(A35-a_nac&lt;=110,A35-a_nac&gt;0),A35-a_nac,"")</f>
        <v>21</v>
      </c>
      <c r="D35" s="30">
        <f>((A35=Inputs!$C$12)*(Inputs!$D$12) + (A35=Inputs!$C$13)*(Inputs!$D$13) + (A35=Inputs!$C$14)*(Inputs!$D$14)) *(A35 &gt;= a_afil)*(A35&gt;=2024)</f>
        <v>0</v>
      </c>
      <c r="E35" s="30">
        <v>0</v>
      </c>
      <c r="F35" s="30">
        <f t="shared" si="8"/>
        <v>0</v>
      </c>
      <c r="G35" s="30">
        <f t="shared" si="9"/>
        <v>0</v>
      </c>
      <c r="H35" s="30">
        <v>0.27529549598693848</v>
      </c>
      <c r="I35" s="37">
        <f t="shared" si="10"/>
        <v>0</v>
      </c>
      <c r="J35" s="37">
        <f t="shared" si="11"/>
        <v>0</v>
      </c>
      <c r="K35" s="84"/>
      <c r="L35" s="71"/>
      <c r="M35" s="87"/>
      <c r="N35" s="47"/>
      <c r="O35" s="47"/>
      <c r="P35" s="47"/>
      <c r="Q35" s="54">
        <f t="shared" ref="Q35" si="115">MIN($B35,_xlfn.XLOOKUP($A35,agnos,tope_base)*UF)*12*I35*$X$2</f>
        <v>0</v>
      </c>
      <c r="R35" s="54">
        <f t="shared" ref="R35" si="116">MIN($B35,_xlfn.XLOOKUP($A35,agnos,tope_base)*UF)*12*J35*$X$2</f>
        <v>0</v>
      </c>
      <c r="S35" s="54">
        <f t="shared" ref="S35" si="117">MIN($B35,_xlfn.XLOOKUP($A35,agnos,tope_base)*UF)*12*I35*$X$2</f>
        <v>0</v>
      </c>
      <c r="T35" s="54">
        <f t="shared" ref="T35" si="118">MIN($B35,_xlfn.XLOOKUP($A35,agnos,tope_base)*UF)*12*J35*$X$2</f>
        <v>0</v>
      </c>
      <c r="U35" s="47"/>
      <c r="V35" s="47"/>
      <c r="W35" s="47"/>
      <c r="X35" s="70">
        <f t="shared" si="25"/>
        <v>0</v>
      </c>
      <c r="Y35" s="70">
        <f t="shared" si="26"/>
        <v>0</v>
      </c>
      <c r="Z35" s="70">
        <f t="shared" si="27"/>
        <v>0</v>
      </c>
      <c r="AA35" s="70">
        <f t="shared" si="28"/>
        <v>0</v>
      </c>
      <c r="AG35" s="52">
        <f t="shared" si="15"/>
        <v>0</v>
      </c>
      <c r="AH35" s="52">
        <f t="shared" si="16"/>
        <v>0</v>
      </c>
      <c r="AI35" s="52">
        <f t="shared" si="17"/>
        <v>0</v>
      </c>
      <c r="AJ35" s="52">
        <f t="shared" si="18"/>
        <v>0</v>
      </c>
      <c r="AK35" s="30"/>
      <c r="AL35" s="30"/>
      <c r="AM35" s="30"/>
      <c r="AN35" s="30"/>
      <c r="AO35" s="30"/>
      <c r="AP35" s="30"/>
      <c r="AS35" s="39"/>
      <c r="AT35" s="47"/>
      <c r="AU35" s="47"/>
      <c r="AV35" s="52">
        <f t="shared" si="19"/>
        <v>0</v>
      </c>
      <c r="AW35" s="52">
        <f t="shared" si="20"/>
        <v>0</v>
      </c>
      <c r="AX35" s="39"/>
      <c r="AY35" s="39"/>
    </row>
    <row r="36" spans="1:51" x14ac:dyDescent="0.25">
      <c r="A36" s="30">
        <v>2001</v>
      </c>
      <c r="B36" s="33">
        <f>w_uf*UF*Parámetros!C23</f>
        <v>569645.53486785921</v>
      </c>
      <c r="C36" s="30">
        <f t="shared" ref="C36" si="119">IF(AND(A36-a_nac&lt;=110,A36-a_nac&gt;0),A36-a_nac,"")</f>
        <v>22</v>
      </c>
      <c r="D36" s="30">
        <f>((A36=Inputs!$C$12)*(Inputs!$D$12) + (A36=Inputs!$C$13)*(Inputs!$D$13) + (A36=Inputs!$C$14)*(Inputs!$D$14)) *(A36 &gt;= a_afil)*(A36&gt;=2024)</f>
        <v>0</v>
      </c>
      <c r="E36" s="30">
        <v>0</v>
      </c>
      <c r="F36" s="30">
        <f t="shared" si="8"/>
        <v>0</v>
      </c>
      <c r="G36" s="30">
        <f t="shared" si="9"/>
        <v>0</v>
      </c>
      <c r="H36" s="30">
        <v>0.98537391424179077</v>
      </c>
      <c r="I36" s="37">
        <f t="shared" si="10"/>
        <v>0</v>
      </c>
      <c r="J36" s="37">
        <f t="shared" si="11"/>
        <v>0</v>
      </c>
      <c r="K36" s="84"/>
      <c r="L36" s="71"/>
      <c r="M36" s="87"/>
      <c r="N36" s="47"/>
      <c r="O36" s="47"/>
      <c r="P36" s="47"/>
      <c r="Q36" s="54">
        <f t="shared" ref="Q36" si="120">MIN($B36,_xlfn.XLOOKUP($A36,agnos,tope_base)*UF)*12*I36*$X$2</f>
        <v>0</v>
      </c>
      <c r="R36" s="54">
        <f t="shared" ref="R36" si="121">MIN($B36,_xlfn.XLOOKUP($A36,agnos,tope_base)*UF)*12*J36*$X$2</f>
        <v>0</v>
      </c>
      <c r="S36" s="54">
        <f t="shared" ref="S36" si="122">MIN($B36,_xlfn.XLOOKUP($A36,agnos,tope_base)*UF)*12*I36*$X$2</f>
        <v>0</v>
      </c>
      <c r="T36" s="54">
        <f t="shared" ref="T36" si="123">MIN($B36,_xlfn.XLOOKUP($A36,agnos,tope_base)*UF)*12*J36*$X$2</f>
        <v>0</v>
      </c>
      <c r="U36" s="47"/>
      <c r="V36" s="47"/>
      <c r="W36" s="47"/>
      <c r="X36" s="70">
        <f t="shared" si="25"/>
        <v>0</v>
      </c>
      <c r="Y36" s="70">
        <f t="shared" si="26"/>
        <v>0</v>
      </c>
      <c r="Z36" s="70">
        <f t="shared" si="27"/>
        <v>0</v>
      </c>
      <c r="AA36" s="70">
        <f t="shared" si="28"/>
        <v>0</v>
      </c>
      <c r="AG36" s="52">
        <f t="shared" si="15"/>
        <v>0</v>
      </c>
      <c r="AH36" s="52">
        <f t="shared" si="16"/>
        <v>0</v>
      </c>
      <c r="AI36" s="52">
        <f t="shared" si="17"/>
        <v>0</v>
      </c>
      <c r="AJ36" s="52">
        <f t="shared" si="18"/>
        <v>0</v>
      </c>
      <c r="AK36" s="30"/>
      <c r="AL36" s="30"/>
      <c r="AM36" s="30"/>
      <c r="AN36" s="30"/>
      <c r="AO36" s="30"/>
      <c r="AP36" s="30"/>
      <c r="AS36" s="39"/>
      <c r="AT36" s="47"/>
      <c r="AU36" s="47"/>
      <c r="AV36" s="52">
        <f t="shared" si="19"/>
        <v>0</v>
      </c>
      <c r="AW36" s="52">
        <f t="shared" si="20"/>
        <v>0</v>
      </c>
      <c r="AX36" s="39"/>
      <c r="AY36" s="39"/>
    </row>
    <row r="37" spans="1:51" x14ac:dyDescent="0.25">
      <c r="A37" s="30">
        <v>2002</v>
      </c>
      <c r="B37" s="33">
        <f>w_uf*UF*Parámetros!C24</f>
        <v>578864.72386109654</v>
      </c>
      <c r="C37" s="30">
        <f t="shared" ref="C37" si="124">IF(AND(A37-a_nac&lt;=110,A37-a_nac&gt;0),A37-a_nac,"")</f>
        <v>23</v>
      </c>
      <c r="D37" s="30">
        <f>((A37=Inputs!$C$12)*(Inputs!$D$12) + (A37=Inputs!$C$13)*(Inputs!$D$13) + (A37=Inputs!$C$14)*(Inputs!$D$14)) *(A37 &gt;= a_afil)*(A37&gt;=2024)</f>
        <v>0</v>
      </c>
      <c r="E37" s="30">
        <v>0</v>
      </c>
      <c r="F37" s="30">
        <f t="shared" si="8"/>
        <v>0</v>
      </c>
      <c r="G37" s="30">
        <f t="shared" si="9"/>
        <v>0</v>
      </c>
      <c r="H37" s="30">
        <v>0.80258738994598389</v>
      </c>
      <c r="I37" s="37">
        <f t="shared" si="10"/>
        <v>0</v>
      </c>
      <c r="J37" s="37">
        <f t="shared" si="11"/>
        <v>0</v>
      </c>
      <c r="K37" s="84"/>
      <c r="L37" s="71"/>
      <c r="M37" s="87"/>
      <c r="N37" s="47"/>
      <c r="O37" s="47"/>
      <c r="P37" s="47"/>
      <c r="Q37" s="54">
        <f t="shared" ref="Q37" si="125">MIN($B37,_xlfn.XLOOKUP($A37,agnos,tope_base)*UF)*12*I37*$X$2</f>
        <v>0</v>
      </c>
      <c r="R37" s="54">
        <f t="shared" ref="R37" si="126">MIN($B37,_xlfn.XLOOKUP($A37,agnos,tope_base)*UF)*12*J37*$X$2</f>
        <v>0</v>
      </c>
      <c r="S37" s="54">
        <f t="shared" ref="S37" si="127">MIN($B37,_xlfn.XLOOKUP($A37,agnos,tope_base)*UF)*12*I37*$X$2</f>
        <v>0</v>
      </c>
      <c r="T37" s="54">
        <f t="shared" ref="T37" si="128">MIN($B37,_xlfn.XLOOKUP($A37,agnos,tope_base)*UF)*12*J37*$X$2</f>
        <v>0</v>
      </c>
      <c r="U37" s="47"/>
      <c r="V37" s="47"/>
      <c r="W37" s="47"/>
      <c r="X37" s="70">
        <f t="shared" si="25"/>
        <v>0</v>
      </c>
      <c r="Y37" s="70">
        <f t="shared" si="26"/>
        <v>0</v>
      </c>
      <c r="Z37" s="70">
        <f t="shared" si="27"/>
        <v>0</v>
      </c>
      <c r="AA37" s="70">
        <f t="shared" si="28"/>
        <v>0</v>
      </c>
      <c r="AG37" s="52">
        <f t="shared" si="15"/>
        <v>0</v>
      </c>
      <c r="AH37" s="52">
        <f t="shared" si="16"/>
        <v>0</v>
      </c>
      <c r="AI37" s="52">
        <f t="shared" si="17"/>
        <v>0</v>
      </c>
      <c r="AJ37" s="52">
        <f t="shared" si="18"/>
        <v>0</v>
      </c>
      <c r="AK37" s="30"/>
      <c r="AL37" s="30"/>
      <c r="AM37" s="30"/>
      <c r="AN37" s="30"/>
      <c r="AO37" s="30"/>
      <c r="AP37" s="30"/>
      <c r="AS37" s="39"/>
      <c r="AT37" s="47"/>
      <c r="AU37" s="47"/>
      <c r="AV37" s="52">
        <f t="shared" si="19"/>
        <v>0</v>
      </c>
      <c r="AW37" s="52">
        <f t="shared" si="20"/>
        <v>0</v>
      </c>
      <c r="AX37" s="39"/>
      <c r="AY37" s="39"/>
    </row>
    <row r="38" spans="1:51" x14ac:dyDescent="0.25">
      <c r="A38" s="30">
        <v>2003</v>
      </c>
      <c r="B38" s="33">
        <f>w_uf*UF*Parámetros!C25</f>
        <v>590592.53570963664</v>
      </c>
      <c r="C38" s="30">
        <f t="shared" ref="C38" si="129">IF(AND(A38-a_nac&lt;=110,A38-a_nac&gt;0),A38-a_nac,"")</f>
        <v>24</v>
      </c>
      <c r="D38" s="30">
        <f>((A38=Inputs!$C$12)*(Inputs!$D$12) + (A38=Inputs!$C$13)*(Inputs!$D$13) + (A38=Inputs!$C$14)*(Inputs!$D$14)) *(A38 &gt;= a_afil)*(A38&gt;=2024)</f>
        <v>0</v>
      </c>
      <c r="E38" s="30">
        <v>0</v>
      </c>
      <c r="F38" s="30">
        <f t="shared" si="8"/>
        <v>1</v>
      </c>
      <c r="G38" s="30">
        <f t="shared" si="9"/>
        <v>1</v>
      </c>
      <c r="H38" s="30">
        <v>0.69610077142715454</v>
      </c>
      <c r="I38" s="37">
        <f t="shared" si="10"/>
        <v>0.57999999999999996</v>
      </c>
      <c r="J38" s="37">
        <f t="shared" si="11"/>
        <v>0.57999999999999996</v>
      </c>
      <c r="K38" s="84"/>
      <c r="L38" s="71"/>
      <c r="M38" s="87"/>
      <c r="N38" s="47"/>
      <c r="O38" s="47"/>
      <c r="P38" s="47"/>
      <c r="Q38" s="54">
        <f t="shared" ref="Q38" si="130">MIN($B38,_xlfn.XLOOKUP($A38,agnos,tope_base)*UF)*12*I38*$X$2</f>
        <v>411052.40485390706</v>
      </c>
      <c r="R38" s="54">
        <f t="shared" ref="R38" si="131">MIN($B38,_xlfn.XLOOKUP($A38,agnos,tope_base)*UF)*12*J38*$X$2</f>
        <v>411052.40485390706</v>
      </c>
      <c r="S38" s="54">
        <f t="shared" ref="S38" si="132">MIN($B38,_xlfn.XLOOKUP($A38,agnos,tope_base)*UF)*12*I38*$X$2</f>
        <v>411052.40485390706</v>
      </c>
      <c r="T38" s="54">
        <f t="shared" ref="T38" si="133">MIN($B38,_xlfn.XLOOKUP($A38,agnos,tope_base)*UF)*12*J38*$X$2</f>
        <v>411052.40485390706</v>
      </c>
      <c r="U38" s="47"/>
      <c r="V38" s="47"/>
      <c r="W38" s="47"/>
      <c r="X38" s="70">
        <f t="shared" si="25"/>
        <v>411052.40485390706</v>
      </c>
      <c r="Y38" s="70">
        <f t="shared" si="26"/>
        <v>411052.40485390706</v>
      </c>
      <c r="Z38" s="70">
        <f t="shared" si="27"/>
        <v>411052.40485390706</v>
      </c>
      <c r="AA38" s="70">
        <f t="shared" si="28"/>
        <v>411052.40485390706</v>
      </c>
      <c r="AG38" s="52">
        <f t="shared" si="15"/>
        <v>0</v>
      </c>
      <c r="AH38" s="52">
        <f t="shared" si="16"/>
        <v>0</v>
      </c>
      <c r="AI38" s="52">
        <f t="shared" si="17"/>
        <v>0</v>
      </c>
      <c r="AJ38" s="52">
        <f t="shared" si="18"/>
        <v>0</v>
      </c>
      <c r="AK38" s="30"/>
      <c r="AL38" s="30"/>
      <c r="AM38" s="30"/>
      <c r="AN38" s="30"/>
      <c r="AO38" s="30"/>
      <c r="AP38" s="30"/>
      <c r="AS38" s="39"/>
      <c r="AT38" s="47"/>
      <c r="AU38" s="47"/>
      <c r="AV38" s="52">
        <f t="shared" si="19"/>
        <v>0</v>
      </c>
      <c r="AW38" s="52">
        <f t="shared" si="20"/>
        <v>0</v>
      </c>
      <c r="AX38" s="39"/>
      <c r="AY38" s="39"/>
    </row>
    <row r="39" spans="1:51" x14ac:dyDescent="0.25">
      <c r="A39" s="30">
        <v>2004</v>
      </c>
      <c r="B39" s="33">
        <f>w_uf*UF*Parámetros!C26</f>
        <v>596048.79041992011</v>
      </c>
      <c r="C39" s="30">
        <f t="shared" ref="C39" si="134">IF(AND(A39-a_nac&lt;=110,A39-a_nac&gt;0),A39-a_nac,"")</f>
        <v>25</v>
      </c>
      <c r="D39" s="30">
        <f>((A39=Inputs!$C$12)*(Inputs!$D$12) + (A39=Inputs!$C$13)*(Inputs!$D$13) + (A39=Inputs!$C$14)*(Inputs!$D$14)) *(A39 &gt;= a_afil)*(A39&gt;=2024)</f>
        <v>0</v>
      </c>
      <c r="E39" s="30">
        <v>0</v>
      </c>
      <c r="F39" s="30">
        <f t="shared" si="8"/>
        <v>1</v>
      </c>
      <c r="G39" s="30">
        <f t="shared" si="9"/>
        <v>1</v>
      </c>
      <c r="H39" s="30">
        <v>0.41759920120239258</v>
      </c>
      <c r="I39" s="37">
        <f t="shared" si="10"/>
        <v>0.57999999999999996</v>
      </c>
      <c r="J39" s="37">
        <f t="shared" si="11"/>
        <v>0.57999999999999996</v>
      </c>
      <c r="K39" s="84"/>
      <c r="L39" s="71"/>
      <c r="M39" s="87"/>
      <c r="N39" s="47"/>
      <c r="O39" s="47"/>
      <c r="P39" s="47"/>
      <c r="Q39" s="54">
        <f t="shared" ref="Q39" si="135">MIN($B39,_xlfn.XLOOKUP($A39,agnos,tope_base)*UF)*12*I39*$X$2</f>
        <v>414849.95813226444</v>
      </c>
      <c r="R39" s="54">
        <f t="shared" ref="R39" si="136">MIN($B39,_xlfn.XLOOKUP($A39,agnos,tope_base)*UF)*12*J39*$X$2</f>
        <v>414849.95813226444</v>
      </c>
      <c r="S39" s="54">
        <f t="shared" ref="S39" si="137">MIN($B39,_xlfn.XLOOKUP($A39,agnos,tope_base)*UF)*12*I39*$X$2</f>
        <v>414849.95813226444</v>
      </c>
      <c r="T39" s="54">
        <f t="shared" ref="T39" si="138">MIN($B39,_xlfn.XLOOKUP($A39,agnos,tope_base)*UF)*12*J39*$X$2</f>
        <v>414849.95813226444</v>
      </c>
      <c r="U39" s="47"/>
      <c r="V39" s="47"/>
      <c r="W39" s="47"/>
      <c r="X39" s="70">
        <f t="shared" si="25"/>
        <v>869268.3916982587</v>
      </c>
      <c r="Y39" s="70">
        <f t="shared" si="26"/>
        <v>869268.3916982587</v>
      </c>
      <c r="Z39" s="70">
        <f t="shared" si="27"/>
        <v>869268.3916982587</v>
      </c>
      <c r="AA39" s="70">
        <f t="shared" si="28"/>
        <v>869268.3916982587</v>
      </c>
      <c r="AG39" s="52">
        <f t="shared" si="15"/>
        <v>0</v>
      </c>
      <c r="AH39" s="52">
        <f t="shared" si="16"/>
        <v>0</v>
      </c>
      <c r="AI39" s="52">
        <f t="shared" si="17"/>
        <v>0</v>
      </c>
      <c r="AJ39" s="52">
        <f t="shared" si="18"/>
        <v>0</v>
      </c>
      <c r="AK39" s="30"/>
      <c r="AL39" s="30"/>
      <c r="AM39" s="30"/>
      <c r="AN39" s="30"/>
      <c r="AO39" s="30"/>
      <c r="AP39" s="30"/>
      <c r="AS39" s="39"/>
      <c r="AT39" s="47"/>
      <c r="AU39" s="47"/>
      <c r="AV39" s="52">
        <f t="shared" si="19"/>
        <v>0</v>
      </c>
      <c r="AW39" s="52">
        <f t="shared" si="20"/>
        <v>0</v>
      </c>
      <c r="AX39" s="39"/>
      <c r="AY39" s="39"/>
    </row>
    <row r="40" spans="1:51" x14ac:dyDescent="0.25">
      <c r="A40" s="30">
        <v>2005</v>
      </c>
      <c r="B40" s="33">
        <f>w_uf*UF*Parámetros!C27</f>
        <v>606898.58426910418</v>
      </c>
      <c r="C40" s="30">
        <f t="shared" ref="C40" si="139">IF(AND(A40-a_nac&lt;=110,A40-a_nac&gt;0),A40-a_nac,"")</f>
        <v>26</v>
      </c>
      <c r="D40" s="30">
        <f>((A40=Inputs!$C$12)*(Inputs!$D$12) + (A40=Inputs!$C$13)*(Inputs!$D$13) + (A40=Inputs!$C$14)*(Inputs!$D$14)) *(A40 &gt;= a_afil)*(A40&gt;=2024)</f>
        <v>0</v>
      </c>
      <c r="E40" s="30">
        <v>0</v>
      </c>
      <c r="F40" s="30">
        <f t="shared" si="8"/>
        <v>1</v>
      </c>
      <c r="G40" s="30">
        <f t="shared" si="9"/>
        <v>1</v>
      </c>
      <c r="H40" s="30">
        <v>0.73448818922042847</v>
      </c>
      <c r="I40" s="37">
        <f t="shared" si="10"/>
        <v>0.57999999999999996</v>
      </c>
      <c r="J40" s="37">
        <f t="shared" si="11"/>
        <v>0.57999999999999996</v>
      </c>
      <c r="K40" s="84"/>
      <c r="L40" s="71"/>
      <c r="M40" s="87"/>
      <c r="N40" s="47"/>
      <c r="O40" s="47"/>
      <c r="P40" s="47"/>
      <c r="Q40" s="54">
        <f t="shared" ref="Q40" si="140">MIN($B40,_xlfn.XLOOKUP($A40,agnos,tope_base)*UF)*12*I40*$X$2</f>
        <v>422401.41465129651</v>
      </c>
      <c r="R40" s="54">
        <f t="shared" ref="R40" si="141">MIN($B40,_xlfn.XLOOKUP($A40,agnos,tope_base)*UF)*12*J40*$X$2</f>
        <v>422401.41465129651</v>
      </c>
      <c r="S40" s="54">
        <f t="shared" ref="S40" si="142">MIN($B40,_xlfn.XLOOKUP($A40,agnos,tope_base)*UF)*12*I40*$X$2</f>
        <v>422401.41465129651</v>
      </c>
      <c r="T40" s="54">
        <f t="shared" ref="T40" si="143">MIN($B40,_xlfn.XLOOKUP($A40,agnos,tope_base)*UF)*12*J40*$X$2</f>
        <v>422401.41465129651</v>
      </c>
      <c r="U40" s="47"/>
      <c r="V40" s="47"/>
      <c r="W40" s="47"/>
      <c r="X40" s="70">
        <f t="shared" si="25"/>
        <v>1368686.985854021</v>
      </c>
      <c r="Y40" s="70">
        <f t="shared" si="26"/>
        <v>1368686.985854021</v>
      </c>
      <c r="Z40" s="70">
        <f t="shared" si="27"/>
        <v>1368686.985854021</v>
      </c>
      <c r="AA40" s="70">
        <f t="shared" si="28"/>
        <v>1368686.985854021</v>
      </c>
      <c r="AG40" s="52">
        <f t="shared" si="15"/>
        <v>0</v>
      </c>
      <c r="AH40" s="52">
        <f t="shared" si="16"/>
        <v>0</v>
      </c>
      <c r="AI40" s="52">
        <f t="shared" si="17"/>
        <v>0</v>
      </c>
      <c r="AJ40" s="52">
        <f t="shared" si="18"/>
        <v>0</v>
      </c>
      <c r="AK40" s="30"/>
      <c r="AL40" s="30"/>
      <c r="AM40" s="30"/>
      <c r="AN40" s="30"/>
      <c r="AO40" s="30"/>
      <c r="AP40" s="30"/>
      <c r="AS40" s="39"/>
      <c r="AT40" s="47"/>
      <c r="AU40" s="47"/>
      <c r="AV40" s="52">
        <f t="shared" si="19"/>
        <v>0</v>
      </c>
      <c r="AW40" s="52">
        <f t="shared" si="20"/>
        <v>0</v>
      </c>
      <c r="AX40" s="39"/>
      <c r="AY40" s="39"/>
    </row>
    <row r="41" spans="1:51" x14ac:dyDescent="0.25">
      <c r="A41" s="30">
        <v>2006</v>
      </c>
      <c r="B41" s="33">
        <f>w_uf*UF*Parámetros!C28</f>
        <v>618187.38711796631</v>
      </c>
      <c r="C41" s="30">
        <f t="shared" ref="C41" si="144">IF(AND(A41-a_nac&lt;=110,A41-a_nac&gt;0),A41-a_nac,"")</f>
        <v>27</v>
      </c>
      <c r="D41" s="30">
        <f>((A41=Inputs!$C$12)*(Inputs!$D$12) + (A41=Inputs!$C$13)*(Inputs!$D$13) + (A41=Inputs!$C$14)*(Inputs!$D$14)) *(A41 &gt;= a_afil)*(A41&gt;=2024)</f>
        <v>0</v>
      </c>
      <c r="E41" s="30">
        <v>0</v>
      </c>
      <c r="F41" s="30">
        <f t="shared" si="8"/>
        <v>1</v>
      </c>
      <c r="G41" s="30">
        <f t="shared" si="9"/>
        <v>1</v>
      </c>
      <c r="H41" s="30">
        <v>0.2771683931350708</v>
      </c>
      <c r="I41" s="37">
        <f t="shared" si="10"/>
        <v>0.57999999999999996</v>
      </c>
      <c r="J41" s="37">
        <f t="shared" si="11"/>
        <v>0.57999999999999996</v>
      </c>
      <c r="K41" s="84"/>
      <c r="L41" s="71"/>
      <c r="M41" s="87"/>
      <c r="N41" s="47"/>
      <c r="O41" s="47"/>
      <c r="P41" s="47"/>
      <c r="Q41" s="54">
        <f t="shared" ref="Q41" si="145">MIN($B41,_xlfn.XLOOKUP($A41,agnos,tope_base)*UF)*12*I41*$X$2</f>
        <v>430258.42143410456</v>
      </c>
      <c r="R41" s="54">
        <f t="shared" ref="R41" si="146">MIN($B41,_xlfn.XLOOKUP($A41,agnos,tope_base)*UF)*12*J41*$X$2</f>
        <v>430258.42143410456</v>
      </c>
      <c r="S41" s="54">
        <f t="shared" ref="S41" si="147">MIN($B41,_xlfn.XLOOKUP($A41,agnos,tope_base)*UF)*12*I41*$X$2</f>
        <v>430258.42143410456</v>
      </c>
      <c r="T41" s="54">
        <f t="shared" ref="T41" si="148">MIN($B41,_xlfn.XLOOKUP($A41,agnos,tope_base)*UF)*12*J41*$X$2</f>
        <v>430258.42143410456</v>
      </c>
      <c r="U41" s="47"/>
      <c r="V41" s="47"/>
      <c r="W41" s="47"/>
      <c r="X41" s="70">
        <f t="shared" si="25"/>
        <v>1861631.27124024</v>
      </c>
      <c r="Y41" s="70">
        <f t="shared" si="26"/>
        <v>1861631.27124024</v>
      </c>
      <c r="Z41" s="70">
        <f t="shared" si="27"/>
        <v>1861631.27124024</v>
      </c>
      <c r="AA41" s="70">
        <f t="shared" si="28"/>
        <v>1861631.27124024</v>
      </c>
      <c r="AG41" s="52">
        <f t="shared" si="15"/>
        <v>0</v>
      </c>
      <c r="AH41" s="52">
        <f t="shared" si="16"/>
        <v>0</v>
      </c>
      <c r="AI41" s="52">
        <f t="shared" si="17"/>
        <v>0</v>
      </c>
      <c r="AJ41" s="52">
        <f t="shared" si="18"/>
        <v>0</v>
      </c>
      <c r="AK41" s="30"/>
      <c r="AL41" s="30"/>
      <c r="AM41" s="30"/>
      <c r="AN41" s="30"/>
      <c r="AO41" s="30"/>
      <c r="AP41" s="30"/>
      <c r="AS41" s="39"/>
      <c r="AT41" s="47"/>
      <c r="AU41" s="47"/>
      <c r="AV41" s="52">
        <f t="shared" si="19"/>
        <v>0</v>
      </c>
      <c r="AW41" s="52">
        <f t="shared" si="20"/>
        <v>0</v>
      </c>
      <c r="AX41" s="39"/>
      <c r="AY41" s="39"/>
    </row>
    <row r="42" spans="1:51" x14ac:dyDescent="0.25">
      <c r="A42" s="30">
        <v>2007</v>
      </c>
      <c r="B42" s="33">
        <f>w_uf*UF*Parámetros!C29</f>
        <v>630291.49239480181</v>
      </c>
      <c r="C42" s="30">
        <f t="shared" ref="C42" si="149">IF(AND(A42-a_nac&lt;=110,A42-a_nac&gt;0),A42-a_nac,"")</f>
        <v>28</v>
      </c>
      <c r="D42" s="30">
        <f>((A42=Inputs!$C$12)*(Inputs!$D$12) + (A42=Inputs!$C$13)*(Inputs!$D$13) + (A42=Inputs!$C$14)*(Inputs!$D$14)) *(A42 &gt;= a_afil)*(A42&gt;=2024)</f>
        <v>0</v>
      </c>
      <c r="E42" s="30">
        <v>0</v>
      </c>
      <c r="F42" s="30">
        <f t="shared" si="8"/>
        <v>1</v>
      </c>
      <c r="G42" s="30">
        <f t="shared" si="9"/>
        <v>1</v>
      </c>
      <c r="H42" s="30">
        <v>0.3565862774848938</v>
      </c>
      <c r="I42" s="37">
        <f t="shared" si="10"/>
        <v>0.57999999999999996</v>
      </c>
      <c r="J42" s="37">
        <f t="shared" si="11"/>
        <v>0.57999999999999996</v>
      </c>
      <c r="K42" s="84"/>
      <c r="L42" s="71"/>
      <c r="M42" s="87"/>
      <c r="N42" s="47"/>
      <c r="O42" s="47"/>
      <c r="P42" s="47"/>
      <c r="Q42" s="54">
        <f t="shared" ref="Q42" si="150">MIN($B42,_xlfn.XLOOKUP($A42,agnos,tope_base)*UF)*12*I42*$X$2</f>
        <v>438682.87870678207</v>
      </c>
      <c r="R42" s="54">
        <f t="shared" ref="R42" si="151">MIN($B42,_xlfn.XLOOKUP($A42,agnos,tope_base)*UF)*12*J42*$X$2</f>
        <v>438682.87870678207</v>
      </c>
      <c r="S42" s="54">
        <f t="shared" ref="S42" si="152">MIN($B42,_xlfn.XLOOKUP($A42,agnos,tope_base)*UF)*12*I42*$X$2</f>
        <v>438682.87870678207</v>
      </c>
      <c r="T42" s="54">
        <f t="shared" ref="T42" si="153">MIN($B42,_xlfn.XLOOKUP($A42,agnos,tope_base)*UF)*12*J42*$X$2</f>
        <v>438682.87870678207</v>
      </c>
      <c r="U42" s="47"/>
      <c r="V42" s="47"/>
      <c r="W42" s="47"/>
      <c r="X42" s="54">
        <f t="shared" si="25"/>
        <v>2593893.4014216079</v>
      </c>
      <c r="Y42" s="54">
        <f t="shared" si="26"/>
        <v>2593893.4014216079</v>
      </c>
      <c r="Z42" s="70">
        <f t="shared" si="27"/>
        <v>2593893.4014216079</v>
      </c>
      <c r="AA42" s="70">
        <f t="shared" si="28"/>
        <v>2593893.4014216079</v>
      </c>
      <c r="AG42" s="52">
        <f t="shared" si="15"/>
        <v>0</v>
      </c>
      <c r="AH42" s="52">
        <f t="shared" si="16"/>
        <v>0</v>
      </c>
      <c r="AI42" s="52">
        <f t="shared" si="17"/>
        <v>0</v>
      </c>
      <c r="AJ42" s="52">
        <f t="shared" si="18"/>
        <v>0</v>
      </c>
      <c r="AK42" s="30"/>
      <c r="AL42" s="30"/>
      <c r="AM42" s="30"/>
      <c r="AN42" s="30"/>
      <c r="AO42" s="30"/>
      <c r="AP42" s="30"/>
      <c r="AS42" s="39"/>
      <c r="AT42" s="47"/>
      <c r="AU42" s="47"/>
      <c r="AV42" s="52">
        <f t="shared" si="19"/>
        <v>0</v>
      </c>
      <c r="AW42" s="52">
        <f t="shared" si="20"/>
        <v>0</v>
      </c>
      <c r="AX42" s="39"/>
      <c r="AY42" s="39"/>
    </row>
    <row r="43" spans="1:51" x14ac:dyDescent="0.25">
      <c r="A43" s="30">
        <v>2008</v>
      </c>
      <c r="B43" s="33">
        <f>w_uf*UF*Parámetros!C30</f>
        <v>648039.99909606832</v>
      </c>
      <c r="C43" s="30">
        <f t="shared" ref="C43" si="154">IF(AND(A43-a_nac&lt;=110,A43-a_nac&gt;0),A43-a_nac,"")</f>
        <v>29</v>
      </c>
      <c r="D43" s="30">
        <f>((A43=Inputs!$C$12)*(Inputs!$D$12) + (A43=Inputs!$C$13)*(Inputs!$D$13) + (A43=Inputs!$C$14)*(Inputs!$D$14)) *(A43 &gt;= a_afil)*(A43&gt;=2024)</f>
        <v>0</v>
      </c>
      <c r="E43" s="30">
        <v>0</v>
      </c>
      <c r="F43" s="30">
        <f t="shared" si="8"/>
        <v>1</v>
      </c>
      <c r="G43" s="30">
        <f t="shared" si="9"/>
        <v>1</v>
      </c>
      <c r="H43" s="30">
        <v>0.4334571361541748</v>
      </c>
      <c r="I43" s="37">
        <f t="shared" si="10"/>
        <v>0.57999999999999996</v>
      </c>
      <c r="J43" s="37">
        <f t="shared" si="11"/>
        <v>0.57999999999999996</v>
      </c>
      <c r="K43" s="84"/>
      <c r="L43" s="71"/>
      <c r="M43" s="87"/>
      <c r="N43" s="47"/>
      <c r="O43" s="47"/>
      <c r="P43" s="47"/>
      <c r="Q43" s="54">
        <f t="shared" ref="Q43" si="155">MIN($B43,_xlfn.XLOOKUP($A43,agnos,tope_base)*UF)*12*I43*$X$2</f>
        <v>451035.83937086351</v>
      </c>
      <c r="R43" s="54">
        <f t="shared" ref="R43" si="156">MIN($B43,_xlfn.XLOOKUP($A43,agnos,tope_base)*UF)*12*J43*$X$2</f>
        <v>451035.83937086351</v>
      </c>
      <c r="S43" s="54">
        <f t="shared" ref="S43" si="157">MIN($B43,_xlfn.XLOOKUP($A43,agnos,tope_base)*UF)*12*I43*$X$2</f>
        <v>451035.83937086351</v>
      </c>
      <c r="T43" s="54">
        <f t="shared" ref="T43" si="158">MIN($B43,_xlfn.XLOOKUP($A43,agnos,tope_base)*UF)*12*J43*$X$2</f>
        <v>451035.83937086351</v>
      </c>
      <c r="U43" s="47"/>
      <c r="V43" s="47"/>
      <c r="W43" s="47"/>
      <c r="X43" s="54">
        <f t="shared" si="25"/>
        <v>3174364.52152341</v>
      </c>
      <c r="Y43" s="54">
        <f t="shared" si="26"/>
        <v>3174364.52152341</v>
      </c>
      <c r="Z43" s="70">
        <f t="shared" si="27"/>
        <v>3174364.52152341</v>
      </c>
      <c r="AA43" s="70">
        <f t="shared" si="28"/>
        <v>3174364.52152341</v>
      </c>
      <c r="AG43" s="52">
        <f t="shared" si="15"/>
        <v>0</v>
      </c>
      <c r="AH43" s="52">
        <f t="shared" si="16"/>
        <v>0</v>
      </c>
      <c r="AI43" s="52">
        <f t="shared" si="17"/>
        <v>0</v>
      </c>
      <c r="AJ43" s="52">
        <f t="shared" si="18"/>
        <v>0</v>
      </c>
      <c r="AK43" s="30"/>
      <c r="AL43" s="30"/>
      <c r="AM43" s="30"/>
      <c r="AN43" s="30"/>
      <c r="AO43" s="30"/>
      <c r="AP43" s="30"/>
      <c r="AS43" s="39"/>
      <c r="AT43" s="47"/>
      <c r="AU43" s="47"/>
      <c r="AV43" s="52">
        <f t="shared" si="19"/>
        <v>0</v>
      </c>
      <c r="AW43" s="52">
        <f t="shared" si="20"/>
        <v>0</v>
      </c>
      <c r="AX43" s="39"/>
      <c r="AY43" s="39"/>
    </row>
    <row r="44" spans="1:51" x14ac:dyDescent="0.25">
      <c r="A44" s="30">
        <v>2009</v>
      </c>
      <c r="B44" s="33">
        <f>w_uf*UF*Parámetros!C31</f>
        <v>646722.97209703445</v>
      </c>
      <c r="C44" s="30">
        <f t="shared" ref="C44" si="159">IF(AND(A44-a_nac&lt;=110,A44-a_nac&gt;0),A44-a_nac,"")</f>
        <v>30</v>
      </c>
      <c r="D44" s="30">
        <f>((A44=Inputs!$C$12)*(Inputs!$D$12) + (A44=Inputs!$C$13)*(Inputs!$D$13) + (A44=Inputs!$C$14)*(Inputs!$D$14)) *(A44 &gt;= a_afil)*(A44&gt;=2024)</f>
        <v>0</v>
      </c>
      <c r="E44" s="30">
        <v>0</v>
      </c>
      <c r="F44" s="30">
        <f t="shared" si="8"/>
        <v>1</v>
      </c>
      <c r="G44" s="30">
        <f t="shared" si="9"/>
        <v>1</v>
      </c>
      <c r="H44" s="30">
        <v>0.94497102499008179</v>
      </c>
      <c r="I44" s="37">
        <f t="shared" si="10"/>
        <v>0.57999999999999996</v>
      </c>
      <c r="J44" s="37">
        <f t="shared" si="11"/>
        <v>0.57999999999999996</v>
      </c>
      <c r="K44" s="84"/>
      <c r="L44" s="71"/>
      <c r="M44" s="87"/>
      <c r="N44" s="47"/>
      <c r="O44" s="47"/>
      <c r="P44" s="47"/>
      <c r="Q44" s="54">
        <f t="shared" ref="Q44" si="160">MIN($B44,_xlfn.XLOOKUP($A44,agnos,tope_base)*UF)*12*I44*$X$2</f>
        <v>450119.18857953598</v>
      </c>
      <c r="R44" s="54">
        <f t="shared" ref="R44" si="161">MIN($B44,_xlfn.XLOOKUP($A44,agnos,tope_base)*UF)*12*J44*$X$2</f>
        <v>450119.18857953598</v>
      </c>
      <c r="S44" s="54">
        <f t="shared" ref="S44" si="162">MIN($B44,_xlfn.XLOOKUP($A44,agnos,tope_base)*UF)*12*I44*$X$2</f>
        <v>450119.18857953598</v>
      </c>
      <c r="T44" s="54">
        <f t="shared" ref="T44" si="163">MIN($B44,_xlfn.XLOOKUP($A44,agnos,tope_base)*UF)*12*J44*$X$2</f>
        <v>450119.18857953598</v>
      </c>
      <c r="U44" s="47"/>
      <c r="V44" s="47"/>
      <c r="W44" s="47"/>
      <c r="X44" s="54">
        <f t="shared" si="25"/>
        <v>3023259.0697264122</v>
      </c>
      <c r="Y44" s="54">
        <f t="shared" si="26"/>
        <v>3023259.0697264122</v>
      </c>
      <c r="Z44" s="54">
        <f t="shared" si="27"/>
        <v>3023259.0697264122</v>
      </c>
      <c r="AA44" s="54">
        <f t="shared" si="28"/>
        <v>3023259.0697264122</v>
      </c>
      <c r="AG44" s="52">
        <f t="shared" si="15"/>
        <v>0</v>
      </c>
      <c r="AH44" s="52">
        <f t="shared" si="16"/>
        <v>0</v>
      </c>
      <c r="AI44" s="52">
        <f t="shared" si="17"/>
        <v>0</v>
      </c>
      <c r="AJ44" s="52">
        <f t="shared" si="18"/>
        <v>0</v>
      </c>
      <c r="AK44" s="30"/>
      <c r="AL44" s="30"/>
      <c r="AM44" s="30"/>
      <c r="AN44" s="30"/>
      <c r="AO44" s="30"/>
      <c r="AP44" s="30"/>
      <c r="AS44" s="39"/>
      <c r="AT44" s="47"/>
      <c r="AU44" s="47"/>
      <c r="AV44" s="52">
        <f t="shared" si="19"/>
        <v>0</v>
      </c>
      <c r="AW44" s="52">
        <f t="shared" si="20"/>
        <v>0</v>
      </c>
      <c r="AX44" s="39"/>
      <c r="AY44" s="39"/>
    </row>
    <row r="45" spans="1:51" x14ac:dyDescent="0.25">
      <c r="A45" s="30">
        <v>2010</v>
      </c>
      <c r="B45" s="33">
        <f>w_uf*UF*Parámetros!C32</f>
        <v>677677.83256711613</v>
      </c>
      <c r="C45" s="30">
        <f t="shared" ref="C45" si="164">IF(AND(A45-a_nac&lt;=110,A45-a_nac&gt;0),A45-a_nac,"")</f>
        <v>31</v>
      </c>
      <c r="D45" s="30">
        <f>((A45=Inputs!$C$12)*(Inputs!$D$12) + (A45=Inputs!$C$13)*(Inputs!$D$13) + (A45=Inputs!$C$14)*(Inputs!$D$14)) *(A45 &gt;= a_afil)*(A45&gt;=2024)</f>
        <v>0</v>
      </c>
      <c r="E45" s="30">
        <v>0</v>
      </c>
      <c r="F45" s="30">
        <f t="shared" si="8"/>
        <v>1</v>
      </c>
      <c r="G45" s="30">
        <f t="shared" si="9"/>
        <v>1</v>
      </c>
      <c r="H45" s="30">
        <v>0.12154996395111084</v>
      </c>
      <c r="I45" s="37">
        <f t="shared" si="10"/>
        <v>0.57999999999999996</v>
      </c>
      <c r="J45" s="37">
        <f t="shared" si="11"/>
        <v>0.57999999999999996</v>
      </c>
      <c r="K45" s="84"/>
      <c r="L45" s="71"/>
      <c r="M45" s="87"/>
      <c r="N45" s="47"/>
      <c r="O45" s="47"/>
      <c r="P45" s="47"/>
      <c r="Q45" s="54">
        <f t="shared" ref="Q45" si="165">MIN($B45,_xlfn.XLOOKUP($A45,agnos,tope_base)*UF)*12*I45*$X$2</f>
        <v>471663.77146671276</v>
      </c>
      <c r="R45" s="54">
        <f t="shared" ref="R45" si="166">MIN($B45,_xlfn.XLOOKUP($A45,agnos,tope_base)*UF)*12*J45*$X$2</f>
        <v>471663.77146671276</v>
      </c>
      <c r="S45" s="54">
        <f t="shared" ref="S45" si="167">MIN($B45,_xlfn.XLOOKUP($A45,agnos,tope_base)*UF)*12*I45*$X$2</f>
        <v>471663.77146671276</v>
      </c>
      <c r="T45" s="54">
        <f t="shared" ref="T45" si="168">MIN($B45,_xlfn.XLOOKUP($A45,agnos,tope_base)*UF)*12*J45*$X$2</f>
        <v>471663.77146671276</v>
      </c>
      <c r="U45" s="47"/>
      <c r="V45" s="47"/>
      <c r="W45" s="47"/>
      <c r="X45" s="54">
        <f t="shared" si="25"/>
        <v>4176063.1096024858</v>
      </c>
      <c r="Y45" s="54">
        <f t="shared" si="26"/>
        <v>4176063.1096024858</v>
      </c>
      <c r="Z45" s="54">
        <f t="shared" si="27"/>
        <v>4176063.1096024858</v>
      </c>
      <c r="AA45" s="54">
        <f t="shared" si="28"/>
        <v>4176063.1096024858</v>
      </c>
      <c r="AG45" s="52">
        <f t="shared" si="15"/>
        <v>0</v>
      </c>
      <c r="AH45" s="52">
        <f t="shared" si="16"/>
        <v>0</v>
      </c>
      <c r="AI45" s="52">
        <f t="shared" si="17"/>
        <v>0</v>
      </c>
      <c r="AJ45" s="52">
        <f t="shared" si="18"/>
        <v>0</v>
      </c>
      <c r="AK45" s="30"/>
      <c r="AL45" s="30"/>
      <c r="AM45" s="30"/>
      <c r="AN45" s="30"/>
      <c r="AO45" s="30"/>
      <c r="AP45" s="30"/>
      <c r="AS45" s="39"/>
      <c r="AT45" s="47"/>
      <c r="AU45" s="47"/>
      <c r="AV45" s="52">
        <f t="shared" si="19"/>
        <v>0</v>
      </c>
      <c r="AW45" s="52">
        <f t="shared" si="20"/>
        <v>0</v>
      </c>
      <c r="AX45" s="39"/>
      <c r="AY45" s="39"/>
    </row>
    <row r="46" spans="1:51" x14ac:dyDescent="0.25">
      <c r="A46" s="30">
        <v>2011</v>
      </c>
      <c r="B46" s="33">
        <f>w_uf*UF*Parámetros!C33</f>
        <v>695953.37307313946</v>
      </c>
      <c r="C46" s="30">
        <f t="shared" ref="C46" si="169">IF(AND(A46-a_nac&lt;=110,A46-a_nac&gt;0),A46-a_nac,"")</f>
        <v>32</v>
      </c>
      <c r="D46" s="30">
        <f>((A46=Inputs!$C$12)*(Inputs!$D$12) + (A46=Inputs!$C$13)*(Inputs!$D$13) + (A46=Inputs!$C$14)*(Inputs!$D$14)) *(A46 &gt;= a_afil)*(A46&gt;=2024)</f>
        <v>0</v>
      </c>
      <c r="E46" s="30">
        <v>0</v>
      </c>
      <c r="F46" s="30">
        <f t="shared" si="8"/>
        <v>1</v>
      </c>
      <c r="G46" s="30">
        <f t="shared" si="9"/>
        <v>1</v>
      </c>
      <c r="H46" s="30">
        <v>0.64595133066177368</v>
      </c>
      <c r="I46" s="37">
        <f t="shared" si="10"/>
        <v>0.57999999999999996</v>
      </c>
      <c r="J46" s="37">
        <f t="shared" si="11"/>
        <v>0.57999999999999996</v>
      </c>
      <c r="K46" s="84"/>
      <c r="L46" s="71"/>
      <c r="M46" s="87"/>
      <c r="N46" s="47"/>
      <c r="O46" s="47"/>
      <c r="P46" s="47"/>
      <c r="Q46" s="54">
        <f t="shared" ref="Q46" si="170">MIN($B46,_xlfn.XLOOKUP($A46,agnos,tope_base)*UF)*12*I46*$X$2</f>
        <v>484383.54765890504</v>
      </c>
      <c r="R46" s="54">
        <f t="shared" ref="R46" si="171">MIN($B46,_xlfn.XLOOKUP($A46,agnos,tope_base)*UF)*12*J46*$X$2</f>
        <v>484383.54765890504</v>
      </c>
      <c r="S46" s="54">
        <f t="shared" ref="S46" si="172">MIN($B46,_xlfn.XLOOKUP($A46,agnos,tope_base)*UF)*12*I46*$X$2</f>
        <v>484383.54765890504</v>
      </c>
      <c r="T46" s="54">
        <f t="shared" ref="T46" si="173">MIN($B46,_xlfn.XLOOKUP($A46,agnos,tope_base)*UF)*12*J46*$X$2</f>
        <v>484383.54765890504</v>
      </c>
      <c r="U46" s="47"/>
      <c r="V46" s="47"/>
      <c r="W46" s="47"/>
      <c r="X46" s="54">
        <f t="shared" si="25"/>
        <v>5050490.9516982632</v>
      </c>
      <c r="Y46" s="54">
        <f t="shared" si="26"/>
        <v>5050490.9516982632</v>
      </c>
      <c r="Z46" s="54">
        <f t="shared" si="27"/>
        <v>5050490.9516982632</v>
      </c>
      <c r="AA46" s="54">
        <f t="shared" si="28"/>
        <v>5050490.9516982632</v>
      </c>
      <c r="AG46" s="52">
        <f t="shared" si="15"/>
        <v>0</v>
      </c>
      <c r="AH46" s="52">
        <f t="shared" si="16"/>
        <v>0</v>
      </c>
      <c r="AI46" s="52">
        <f t="shared" si="17"/>
        <v>0</v>
      </c>
      <c r="AJ46" s="52">
        <f t="shared" si="18"/>
        <v>0</v>
      </c>
      <c r="AK46" s="30"/>
      <c r="AL46" s="30"/>
      <c r="AM46" s="30"/>
      <c r="AN46" s="30"/>
      <c r="AO46" s="30"/>
      <c r="AP46" s="30"/>
      <c r="AS46" s="39"/>
      <c r="AT46" s="47"/>
      <c r="AU46" s="47"/>
      <c r="AV46" s="52">
        <f t="shared" si="19"/>
        <v>0</v>
      </c>
      <c r="AW46" s="52">
        <f t="shared" si="20"/>
        <v>0</v>
      </c>
      <c r="AX46" s="39"/>
      <c r="AY46" s="39"/>
    </row>
    <row r="47" spans="1:51" x14ac:dyDescent="0.25">
      <c r="A47" s="30">
        <v>2012</v>
      </c>
      <c r="B47" s="33">
        <f>w_uf*UF*Parámetros!C34</f>
        <v>713348.65352546691</v>
      </c>
      <c r="C47" s="30">
        <f t="shared" ref="C47" si="174">IF(AND(A47-a_nac&lt;=110,A47-a_nac&gt;0),A47-a_nac,"")</f>
        <v>33</v>
      </c>
      <c r="D47" s="30">
        <f>((A47=Inputs!$C$12)*(Inputs!$D$12) + (A47=Inputs!$C$13)*(Inputs!$D$13) + (A47=Inputs!$C$14)*(Inputs!$D$14)) *(A47 &gt;= a_afil)*(A47&gt;=2024)</f>
        <v>0</v>
      </c>
      <c r="E47" s="30">
        <v>0</v>
      </c>
      <c r="F47" s="30">
        <f t="shared" si="8"/>
        <v>1</v>
      </c>
      <c r="G47" s="30">
        <f t="shared" si="9"/>
        <v>1</v>
      </c>
      <c r="H47" s="30">
        <v>0.34783267974853516</v>
      </c>
      <c r="I47" s="37">
        <f t="shared" si="10"/>
        <v>0.57999999999999996</v>
      </c>
      <c r="J47" s="37">
        <f t="shared" si="11"/>
        <v>0.57999999999999996</v>
      </c>
      <c r="K47" s="84"/>
      <c r="L47" s="71"/>
      <c r="M47" s="87"/>
      <c r="N47" s="47"/>
      <c r="O47" s="47"/>
      <c r="P47" s="47"/>
      <c r="Q47" s="54">
        <f t="shared" ref="Q47" si="175">MIN($B47,_xlfn.XLOOKUP($A47,agnos,tope_base)*UF)*12*I47*$X$2</f>
        <v>496490.66285372491</v>
      </c>
      <c r="R47" s="54">
        <f t="shared" ref="R47" si="176">MIN($B47,_xlfn.XLOOKUP($A47,agnos,tope_base)*UF)*12*J47*$X$2</f>
        <v>496490.66285372491</v>
      </c>
      <c r="S47" s="54">
        <f t="shared" ref="S47" si="177">MIN($B47,_xlfn.XLOOKUP($A47,agnos,tope_base)*UF)*12*I47*$X$2</f>
        <v>496490.66285372491</v>
      </c>
      <c r="T47" s="54">
        <f t="shared" ref="T47" si="178">MIN($B47,_xlfn.XLOOKUP($A47,agnos,tope_base)*UF)*12*J47*$X$2</f>
        <v>496490.66285372491</v>
      </c>
      <c r="U47" s="47"/>
      <c r="V47" s="47"/>
      <c r="W47" s="47"/>
      <c r="X47" s="54">
        <f t="shared" si="25"/>
        <v>5355568.0074826237</v>
      </c>
      <c r="Y47" s="54">
        <f t="shared" si="26"/>
        <v>5355568.0074826237</v>
      </c>
      <c r="Z47" s="54">
        <f t="shared" si="27"/>
        <v>5355568.0074826237</v>
      </c>
      <c r="AA47" s="54">
        <f t="shared" si="28"/>
        <v>5355568.0074826237</v>
      </c>
      <c r="AG47" s="52">
        <f t="shared" si="15"/>
        <v>0</v>
      </c>
      <c r="AH47" s="52">
        <f t="shared" si="16"/>
        <v>0</v>
      </c>
      <c r="AI47" s="52">
        <f t="shared" si="17"/>
        <v>0</v>
      </c>
      <c r="AJ47" s="52">
        <f t="shared" si="18"/>
        <v>0</v>
      </c>
      <c r="AK47" s="30"/>
      <c r="AL47" s="30"/>
      <c r="AM47" s="30"/>
      <c r="AN47" s="30"/>
      <c r="AO47" s="30"/>
      <c r="AP47" s="30"/>
      <c r="AS47" s="39"/>
      <c r="AT47" s="47"/>
      <c r="AU47" s="47"/>
      <c r="AV47" s="52">
        <f t="shared" si="19"/>
        <v>0</v>
      </c>
      <c r="AW47" s="52">
        <f t="shared" si="20"/>
        <v>0</v>
      </c>
      <c r="AX47" s="39"/>
      <c r="AY47" s="39"/>
    </row>
    <row r="48" spans="1:51" x14ac:dyDescent="0.25">
      <c r="A48" s="30">
        <v>2013</v>
      </c>
      <c r="B48" s="33">
        <f>w_uf*UF*Parámetros!C35</f>
        <v>736534.87895418215</v>
      </c>
      <c r="C48" s="30">
        <f t="shared" ref="C48" si="179">IF(AND(A48-a_nac&lt;=110,A48-a_nac&gt;0),A48-a_nac,"")</f>
        <v>34</v>
      </c>
      <c r="D48" s="30">
        <f>((A48=Inputs!$C$12)*(Inputs!$D$12) + (A48=Inputs!$C$13)*(Inputs!$D$13) + (A48=Inputs!$C$14)*(Inputs!$D$14)) *(A48 &gt;= a_afil)*(A48&gt;=2024)</f>
        <v>0</v>
      </c>
      <c r="E48" s="30">
        <v>0</v>
      </c>
      <c r="F48" s="30">
        <f t="shared" ref="F48:F79" si="180" xml:space="preserve"> (C48&lt;edad_ret_h) * (A48&gt;=a_afil)</f>
        <v>1</v>
      </c>
      <c r="G48" s="30">
        <f t="shared" ref="G48:G79" si="181" xml:space="preserve"> (C48&lt;edad_ret_m) * (A48&gt;=a_afil)</f>
        <v>1</v>
      </c>
      <c r="H48" s="30">
        <v>0.10443228483200073</v>
      </c>
      <c r="I48" s="37">
        <f t="shared" si="10"/>
        <v>0.57999999999999996</v>
      </c>
      <c r="J48" s="37">
        <f t="shared" si="11"/>
        <v>0.57999999999999996</v>
      </c>
      <c r="K48" s="84"/>
      <c r="L48" s="71"/>
      <c r="M48" s="87"/>
      <c r="N48" s="47"/>
      <c r="O48" s="47"/>
      <c r="P48" s="47"/>
      <c r="Q48" s="54">
        <f t="shared" ref="Q48" si="182">MIN($B48,_xlfn.XLOOKUP($A48,agnos,tope_base)*UF)*12*I48*$X$2</f>
        <v>512628.2757521107</v>
      </c>
      <c r="R48" s="54">
        <f t="shared" ref="R48" si="183">MIN($B48,_xlfn.XLOOKUP($A48,agnos,tope_base)*UF)*12*J48*$X$2</f>
        <v>512628.2757521107</v>
      </c>
      <c r="S48" s="54">
        <f t="shared" ref="S48" si="184">MIN($B48,_xlfn.XLOOKUP($A48,agnos,tope_base)*UF)*12*I48*$X$2</f>
        <v>512628.2757521107</v>
      </c>
      <c r="T48" s="54">
        <f t="shared" ref="T48" si="185">MIN($B48,_xlfn.XLOOKUP($A48,agnos,tope_base)*UF)*12*J48*$X$2</f>
        <v>512628.2757521107</v>
      </c>
      <c r="U48" s="47"/>
      <c r="V48" s="47"/>
      <c r="W48" s="47"/>
      <c r="X48" s="54">
        <f t="shared" si="25"/>
        <v>6115087.9683796829</v>
      </c>
      <c r="Y48" s="54">
        <f t="shared" si="26"/>
        <v>6115087.9683796829</v>
      </c>
      <c r="Z48" s="54">
        <f t="shared" si="27"/>
        <v>6115087.9683796829</v>
      </c>
      <c r="AA48" s="54">
        <f t="shared" si="28"/>
        <v>6115087.9683796829</v>
      </c>
      <c r="AG48" s="52">
        <f t="shared" ref="AG48:AG79" si="186">($A48=D$9)*X48/(12*_xlfn.XLOOKUP(AG$15,sexo_cnu,cnu))</f>
        <v>0</v>
      </c>
      <c r="AH48" s="52">
        <f t="shared" ref="AH48:AH79" si="187">($A48=E$9)*Y48/(12*_xlfn.XLOOKUP(AH$15,sexo_cnu,cnu))</f>
        <v>0</v>
      </c>
      <c r="AI48" s="52">
        <f t="shared" si="17"/>
        <v>0</v>
      </c>
      <c r="AJ48" s="52">
        <f t="shared" si="18"/>
        <v>0</v>
      </c>
      <c r="AK48" s="30"/>
      <c r="AL48" s="30"/>
      <c r="AM48" s="30"/>
      <c r="AN48" s="30"/>
      <c r="AO48" s="30"/>
      <c r="AP48" s="30"/>
      <c r="AS48" s="39"/>
      <c r="AT48" s="47"/>
      <c r="AU48" s="47"/>
      <c r="AV48" s="52">
        <f t="shared" si="19"/>
        <v>0</v>
      </c>
      <c r="AW48" s="52">
        <f t="shared" ref="AW48:AW79" si="188">IF($A48=a_nac+edad_ret_m,AA48/(12*_xlfn.XLOOKUP(AW$15,sexo_cnu,cnu)),0)</f>
        <v>0</v>
      </c>
      <c r="AX48" s="39"/>
      <c r="AY48" s="39"/>
    </row>
    <row r="49" spans="1:51" x14ac:dyDescent="0.25">
      <c r="A49" s="30">
        <v>2014</v>
      </c>
      <c r="B49" s="33">
        <f>w_uf*UF*Parámetros!C36</f>
        <v>764995.80232650624</v>
      </c>
      <c r="C49" s="30">
        <f t="shared" ref="C49" si="189">IF(AND(A49-a_nac&lt;=110,A49-a_nac&gt;0),A49-a_nac,"")</f>
        <v>35</v>
      </c>
      <c r="D49" s="30">
        <f>((A49=Inputs!$C$12)*(Inputs!$D$12) + (A49=Inputs!$C$13)*(Inputs!$D$13) + (A49=Inputs!$C$14)*(Inputs!$D$14)) *(A49 &gt;= a_afil)*(A49&gt;=2024)</f>
        <v>0</v>
      </c>
      <c r="E49" s="30">
        <v>0</v>
      </c>
      <c r="F49" s="30">
        <f t="shared" si="180"/>
        <v>1</v>
      </c>
      <c r="G49" s="30">
        <f t="shared" si="181"/>
        <v>1</v>
      </c>
      <c r="H49" s="30">
        <v>0.185402512550354</v>
      </c>
      <c r="I49" s="37">
        <f t="shared" si="10"/>
        <v>0.57999999999999996</v>
      </c>
      <c r="J49" s="37">
        <f t="shared" si="11"/>
        <v>0.57999999999999996</v>
      </c>
      <c r="K49" s="84"/>
      <c r="L49" s="71"/>
      <c r="M49" s="87"/>
      <c r="N49" s="47"/>
      <c r="O49" s="47"/>
      <c r="P49" s="47"/>
      <c r="Q49" s="54">
        <f t="shared" ref="Q49" si="190">MIN($B49,_xlfn.XLOOKUP($A49,agnos,tope_base)*UF)*12*I49*$X$2</f>
        <v>532437.07841924846</v>
      </c>
      <c r="R49" s="54">
        <f t="shared" ref="R49" si="191">MIN($B49,_xlfn.XLOOKUP($A49,agnos,tope_base)*UF)*12*J49*$X$2</f>
        <v>532437.07841924846</v>
      </c>
      <c r="S49" s="54">
        <f t="shared" ref="S49" si="192">MIN($B49,_xlfn.XLOOKUP($A49,agnos,tope_base)*UF)*12*I49*$X$2</f>
        <v>532437.07841924846</v>
      </c>
      <c r="T49" s="54">
        <f t="shared" ref="T49" si="193">MIN($B49,_xlfn.XLOOKUP($A49,agnos,tope_base)*UF)*12*J49*$X$2</f>
        <v>532437.07841924846</v>
      </c>
      <c r="U49" s="47"/>
      <c r="V49" s="47"/>
      <c r="W49" s="47"/>
      <c r="X49" s="54">
        <f t="shared" ref="X49:X80" si="194">F48*X48*(1+_xlfn.XLOOKUP(MIN(2024,$A48),agnos_rent,rent_base))+Q49</f>
        <v>6933711.1637190999</v>
      </c>
      <c r="Y49" s="54">
        <f t="shared" ref="Y49:Y80" si="195">G48*Y48*(1+_xlfn.XLOOKUP(MIN(2024,$A48),agnos_rent,rent_base))+R49</f>
        <v>6933711.1637190999</v>
      </c>
      <c r="Z49" s="54">
        <f t="shared" si="27"/>
        <v>6933711.1637190999</v>
      </c>
      <c r="AA49" s="54">
        <f t="shared" si="28"/>
        <v>6933711.1637190999</v>
      </c>
      <c r="AG49" s="52">
        <f t="shared" si="186"/>
        <v>0</v>
      </c>
      <c r="AH49" s="52">
        <f t="shared" si="187"/>
        <v>0</v>
      </c>
      <c r="AI49" s="52">
        <f t="shared" si="17"/>
        <v>0</v>
      </c>
      <c r="AJ49" s="52">
        <f t="shared" si="18"/>
        <v>0</v>
      </c>
      <c r="AK49" s="30"/>
      <c r="AL49" s="30"/>
      <c r="AM49" s="30"/>
      <c r="AN49" s="30"/>
      <c r="AO49" s="30"/>
      <c r="AP49" s="30"/>
      <c r="AS49" s="39"/>
      <c r="AT49" s="47"/>
      <c r="AU49" s="47"/>
      <c r="AV49" s="52">
        <f t="shared" si="19"/>
        <v>0</v>
      </c>
      <c r="AW49" s="52">
        <f t="shared" si="188"/>
        <v>0</v>
      </c>
      <c r="AX49" s="39"/>
      <c r="AY49" s="39"/>
    </row>
    <row r="50" spans="1:51" x14ac:dyDescent="0.25">
      <c r="A50" s="30">
        <v>2015</v>
      </c>
      <c r="B50" s="33">
        <f>w_uf*UF*Parámetros!C37</f>
        <v>778500.52543035639</v>
      </c>
      <c r="C50" s="30">
        <f t="shared" ref="C50" si="196">IF(AND(A50-a_nac&lt;=110,A50-a_nac&gt;0),A50-a_nac,"")</f>
        <v>36</v>
      </c>
      <c r="D50" s="30">
        <f>((A50=Inputs!$C$12)*(Inputs!$D$12) + (A50=Inputs!$C$13)*(Inputs!$D$13) + (A50=Inputs!$C$14)*(Inputs!$D$14)) *(A50 &gt;= a_afil)*(A50&gt;=2024)</f>
        <v>0</v>
      </c>
      <c r="E50" s="30">
        <v>0</v>
      </c>
      <c r="F50" s="30">
        <f t="shared" si="180"/>
        <v>1</v>
      </c>
      <c r="G50" s="30">
        <f t="shared" si="181"/>
        <v>1</v>
      </c>
      <c r="H50" s="30">
        <v>7.7684700489044189E-2</v>
      </c>
      <c r="I50" s="37">
        <f t="shared" si="10"/>
        <v>0.57999999999999996</v>
      </c>
      <c r="J50" s="37">
        <f t="shared" si="11"/>
        <v>0.57999999999999996</v>
      </c>
      <c r="K50" s="84"/>
      <c r="L50" s="71"/>
      <c r="M50" s="87"/>
      <c r="N50" s="47"/>
      <c r="O50" s="47"/>
      <c r="P50" s="47"/>
      <c r="Q50" s="54">
        <f t="shared" ref="Q50" si="197">MIN($B50,_xlfn.XLOOKUP($A50,agnos,tope_base)*UF)*12*I50*$X$2</f>
        <v>541836.36569952813</v>
      </c>
      <c r="R50" s="54">
        <f t="shared" ref="R50" si="198">MIN($B50,_xlfn.XLOOKUP($A50,agnos,tope_base)*UF)*12*J50*$X$2</f>
        <v>541836.36569952813</v>
      </c>
      <c r="S50" s="54">
        <f t="shared" ref="S50" si="199">MIN($B50,_xlfn.XLOOKUP($A50,agnos,tope_base)*UF)*12*I50*$X$2</f>
        <v>541836.36569952813</v>
      </c>
      <c r="T50" s="54">
        <f t="shared" ref="T50" si="200">MIN($B50,_xlfn.XLOOKUP($A50,agnos,tope_base)*UF)*12*J50*$X$2</f>
        <v>541836.36569952813</v>
      </c>
      <c r="U50" s="47"/>
      <c r="V50" s="47"/>
      <c r="W50" s="47"/>
      <c r="X50" s="54">
        <f t="shared" si="194"/>
        <v>8099581.5341533469</v>
      </c>
      <c r="Y50" s="54">
        <f t="shared" si="195"/>
        <v>8099581.5341533469</v>
      </c>
      <c r="Z50" s="54">
        <f t="shared" si="27"/>
        <v>8099581.5341533469</v>
      </c>
      <c r="AA50" s="54">
        <f t="shared" si="28"/>
        <v>8099581.5341533469</v>
      </c>
      <c r="AG50" s="52">
        <f t="shared" si="186"/>
        <v>0</v>
      </c>
      <c r="AH50" s="52">
        <f t="shared" si="187"/>
        <v>0</v>
      </c>
      <c r="AI50" s="52">
        <f t="shared" si="17"/>
        <v>0</v>
      </c>
      <c r="AJ50" s="52">
        <f t="shared" si="18"/>
        <v>0</v>
      </c>
      <c r="AK50" s="30"/>
      <c r="AL50" s="30"/>
      <c r="AM50" s="30"/>
      <c r="AN50" s="30"/>
      <c r="AO50" s="30"/>
      <c r="AP50" s="30"/>
      <c r="AS50" s="39"/>
      <c r="AT50" s="47"/>
      <c r="AU50" s="47"/>
      <c r="AV50" s="52">
        <f t="shared" si="19"/>
        <v>0</v>
      </c>
      <c r="AW50" s="52">
        <f t="shared" si="188"/>
        <v>0</v>
      </c>
      <c r="AX50" s="39"/>
      <c r="AY50" s="39"/>
    </row>
    <row r="51" spans="1:51" x14ac:dyDescent="0.25">
      <c r="A51" s="30">
        <v>2016</v>
      </c>
      <c r="B51" s="33">
        <f>w_uf*UF*Parámetros!C38</f>
        <v>792334.44954061578</v>
      </c>
      <c r="C51" s="30">
        <f t="shared" ref="C51" si="201">IF(AND(A51-a_nac&lt;=110,A51-a_nac&gt;0),A51-a_nac,"")</f>
        <v>37</v>
      </c>
      <c r="D51" s="30">
        <f>((A51=Inputs!$C$12)*(Inputs!$D$12) + (A51=Inputs!$C$13)*(Inputs!$D$13) + (A51=Inputs!$C$14)*(Inputs!$D$14)) *(A51 &gt;= a_afil)*(A51&gt;=2024)</f>
        <v>0</v>
      </c>
      <c r="E51" s="30">
        <v>0</v>
      </c>
      <c r="F51" s="30">
        <f t="shared" si="180"/>
        <v>1</v>
      </c>
      <c r="G51" s="30">
        <f t="shared" si="181"/>
        <v>1</v>
      </c>
      <c r="H51" s="30">
        <v>0.43275952339172363</v>
      </c>
      <c r="I51" s="37">
        <f t="shared" si="10"/>
        <v>0.57999999999999996</v>
      </c>
      <c r="J51" s="37">
        <f t="shared" si="11"/>
        <v>0.57999999999999996</v>
      </c>
      <c r="K51" s="84"/>
      <c r="L51" s="71"/>
      <c r="M51" s="87"/>
      <c r="N51" s="47"/>
      <c r="O51" s="47"/>
      <c r="P51" s="47"/>
      <c r="Q51" s="54">
        <f t="shared" ref="Q51" si="202">MIN($B51,_xlfn.XLOOKUP($A51,agnos,tope_base)*UF)*12*I51*$X$2</f>
        <v>551464.77688026847</v>
      </c>
      <c r="R51" s="54">
        <f t="shared" ref="R51" si="203">MIN($B51,_xlfn.XLOOKUP($A51,agnos,tope_base)*UF)*12*J51*$X$2</f>
        <v>551464.77688026847</v>
      </c>
      <c r="S51" s="54">
        <f t="shared" ref="S51" si="204">MIN($B51,_xlfn.XLOOKUP($A51,agnos,tope_base)*UF)*12*I51*$X$2</f>
        <v>551464.77688026847</v>
      </c>
      <c r="T51" s="54">
        <f t="shared" ref="T51" si="205">MIN($B51,_xlfn.XLOOKUP($A51,agnos,tope_base)*UF)*12*J51*$X$2</f>
        <v>551464.77688026847</v>
      </c>
      <c r="U51" s="47"/>
      <c r="V51" s="47"/>
      <c r="W51" s="47"/>
      <c r="X51" s="54">
        <f t="shared" si="194"/>
        <v>8825997.2721713278</v>
      </c>
      <c r="Y51" s="54">
        <f t="shared" si="195"/>
        <v>8825997.2721713278</v>
      </c>
      <c r="Z51" s="54">
        <f t="shared" si="27"/>
        <v>8825997.2721713278</v>
      </c>
      <c r="AA51" s="54">
        <f t="shared" si="28"/>
        <v>8825997.2721713278</v>
      </c>
      <c r="AG51" s="52">
        <f t="shared" si="186"/>
        <v>0</v>
      </c>
      <c r="AH51" s="52">
        <f t="shared" si="187"/>
        <v>0</v>
      </c>
      <c r="AI51" s="52">
        <f t="shared" si="17"/>
        <v>0</v>
      </c>
      <c r="AJ51" s="52">
        <f t="shared" si="18"/>
        <v>0</v>
      </c>
      <c r="AK51" s="30"/>
      <c r="AL51" s="30"/>
      <c r="AM51" s="30"/>
      <c r="AN51" s="30"/>
      <c r="AO51" s="30"/>
      <c r="AP51" s="30"/>
      <c r="AS51" s="39"/>
      <c r="AT51" s="47"/>
      <c r="AU51" s="47"/>
      <c r="AV51" s="52">
        <f t="shared" si="19"/>
        <v>0</v>
      </c>
      <c r="AW51" s="52">
        <f t="shared" si="188"/>
        <v>0</v>
      </c>
      <c r="AX51" s="39"/>
      <c r="AY51" s="39"/>
    </row>
    <row r="52" spans="1:51" x14ac:dyDescent="0.25">
      <c r="A52" s="30">
        <v>2017</v>
      </c>
      <c r="B52" s="33">
        <f>w_uf*UF*Parámetros!C39</f>
        <v>803385.12877850304</v>
      </c>
      <c r="C52" s="30">
        <f t="shared" ref="C52" si="206">IF(AND(A52-a_nac&lt;=110,A52-a_nac&gt;0),A52-a_nac,"")</f>
        <v>38</v>
      </c>
      <c r="D52" s="30">
        <f>((A52=Inputs!$C$12)*(Inputs!$D$12) + (A52=Inputs!$C$13)*(Inputs!$D$13) + (A52=Inputs!$C$14)*(Inputs!$D$14)) *(A52 &gt;= a_afil)*(A52&gt;=2024)</f>
        <v>0</v>
      </c>
      <c r="E52" s="30">
        <v>0</v>
      </c>
      <c r="F52" s="30">
        <f t="shared" si="180"/>
        <v>1</v>
      </c>
      <c r="G52" s="30">
        <f t="shared" si="181"/>
        <v>1</v>
      </c>
      <c r="H52" s="30">
        <v>0.9592708945274353</v>
      </c>
      <c r="I52" s="37">
        <f t="shared" si="10"/>
        <v>0.57999999999999996</v>
      </c>
      <c r="J52" s="37">
        <f t="shared" si="11"/>
        <v>0.57999999999999996</v>
      </c>
      <c r="K52" s="84"/>
      <c r="L52" s="71"/>
      <c r="M52" s="87"/>
      <c r="N52" s="47"/>
      <c r="O52" s="47"/>
      <c r="P52" s="47"/>
      <c r="Q52" s="54">
        <f t="shared" ref="Q52:Q55" si="207">MIN($B52,_xlfn.XLOOKUP($A52,agnos,tope_base)*UF)*12*I52*$X$2</f>
        <v>559156.04962983809</v>
      </c>
      <c r="R52" s="54">
        <f t="shared" ref="R52:R55" si="208">MIN($B52,_xlfn.XLOOKUP($A52,agnos,tope_base)*UF)*12*J52*$X$2</f>
        <v>559156.04962983809</v>
      </c>
      <c r="S52" s="54">
        <f t="shared" ref="S52:S55" si="209">MIN($B52,_xlfn.XLOOKUP($A52,agnos,tope_base)*UF)*12*I52*$X$2</f>
        <v>559156.04962983809</v>
      </c>
      <c r="T52" s="54">
        <f t="shared" ref="T52:T55" si="210">MIN($B52,_xlfn.XLOOKUP($A52,agnos,tope_base)*UF)*12*J52*$X$2</f>
        <v>559156.04962983809</v>
      </c>
      <c r="U52" s="47"/>
      <c r="V52" s="176"/>
      <c r="W52" s="176"/>
      <c r="X52" s="54">
        <f t="shared" si="194"/>
        <v>9538725.6743369475</v>
      </c>
      <c r="Y52" s="54">
        <f t="shared" si="195"/>
        <v>9538725.6743369475</v>
      </c>
      <c r="Z52" s="54">
        <f t="shared" si="27"/>
        <v>9538725.6743369475</v>
      </c>
      <c r="AA52" s="54">
        <f t="shared" si="28"/>
        <v>9538725.6743369475</v>
      </c>
      <c r="AG52" s="52">
        <f t="shared" si="186"/>
        <v>0</v>
      </c>
      <c r="AH52" s="52">
        <f t="shared" si="187"/>
        <v>0</v>
      </c>
      <c r="AI52" s="52">
        <f t="shared" si="17"/>
        <v>0</v>
      </c>
      <c r="AJ52" s="52">
        <f t="shared" si="18"/>
        <v>0</v>
      </c>
      <c r="AK52" s="30"/>
      <c r="AL52" s="30"/>
      <c r="AM52" s="30"/>
      <c r="AN52" s="30"/>
      <c r="AO52" s="30"/>
      <c r="AP52" s="30"/>
      <c r="AS52" s="39"/>
      <c r="AT52" s="176"/>
      <c r="AU52" s="176"/>
      <c r="AV52" s="52">
        <f t="shared" si="19"/>
        <v>0</v>
      </c>
      <c r="AW52" s="52">
        <f t="shared" si="188"/>
        <v>0</v>
      </c>
      <c r="AX52" s="39"/>
      <c r="AY52" s="39"/>
    </row>
    <row r="53" spans="1:51" x14ac:dyDescent="0.25">
      <c r="A53" s="30">
        <v>2018</v>
      </c>
      <c r="B53" s="33">
        <f>w_uf*UF*Parámetros!C40</f>
        <v>822725.68790506921</v>
      </c>
      <c r="C53" s="30">
        <f t="shared" ref="C53:C56" si="211">IF(AND(A53-a_nac&lt;=110,A53-a_nac&gt;0),A53-a_nac,"")</f>
        <v>39</v>
      </c>
      <c r="D53" s="30">
        <f>((A53=Inputs!$C$12)*(Inputs!$D$12) + (A53=Inputs!$C$13)*(Inputs!$D$13) + (A53=Inputs!$C$14)*(Inputs!$D$14)) *(A53 &gt;= a_afil)*(A53&gt;=2024)</f>
        <v>0</v>
      </c>
      <c r="E53" s="30">
        <v>0</v>
      </c>
      <c r="F53" s="30">
        <f t="shared" si="180"/>
        <v>1</v>
      </c>
      <c r="G53" s="30">
        <f t="shared" si="181"/>
        <v>1</v>
      </c>
      <c r="H53" s="30">
        <v>0.54202926158905029</v>
      </c>
      <c r="I53" s="37">
        <f t="shared" si="10"/>
        <v>0.57999999999999996</v>
      </c>
      <c r="J53" s="37">
        <f t="shared" si="11"/>
        <v>0.57999999999999996</v>
      </c>
      <c r="K53" s="84"/>
      <c r="L53" s="71"/>
      <c r="M53" s="87"/>
      <c r="N53" s="47"/>
      <c r="O53" s="47"/>
      <c r="P53" s="47"/>
      <c r="Q53" s="54">
        <f t="shared" si="207"/>
        <v>572617.07878192805</v>
      </c>
      <c r="R53" s="54">
        <f t="shared" si="208"/>
        <v>572617.07878192805</v>
      </c>
      <c r="S53" s="54">
        <f t="shared" si="209"/>
        <v>572617.07878192805</v>
      </c>
      <c r="T53" s="54">
        <f t="shared" si="210"/>
        <v>572617.07878192805</v>
      </c>
      <c r="U53" s="47"/>
      <c r="V53" s="47"/>
      <c r="W53" s="47"/>
      <c r="X53" s="54">
        <f t="shared" si="194"/>
        <v>10827701.051261581</v>
      </c>
      <c r="Y53" s="54">
        <f t="shared" si="195"/>
        <v>10827701.051261581</v>
      </c>
      <c r="Z53" s="54">
        <f t="shared" si="27"/>
        <v>10827701.051261581</v>
      </c>
      <c r="AA53" s="54">
        <f t="shared" si="28"/>
        <v>10827701.051261581</v>
      </c>
      <c r="AG53" s="52">
        <f t="shared" si="186"/>
        <v>0</v>
      </c>
      <c r="AH53" s="52">
        <f t="shared" si="187"/>
        <v>0</v>
      </c>
      <c r="AI53" s="52">
        <f t="shared" si="17"/>
        <v>0</v>
      </c>
      <c r="AJ53" s="52">
        <f t="shared" si="18"/>
        <v>0</v>
      </c>
      <c r="AK53" s="30"/>
      <c r="AL53" s="30"/>
      <c r="AM53" s="30"/>
      <c r="AN53" s="30"/>
      <c r="AO53" s="30"/>
      <c r="AP53" s="30"/>
      <c r="AS53" s="39"/>
      <c r="AT53" s="47"/>
      <c r="AU53" s="47"/>
      <c r="AV53" s="52">
        <f t="shared" si="19"/>
        <v>0</v>
      </c>
      <c r="AW53" s="52">
        <f t="shared" si="188"/>
        <v>0</v>
      </c>
      <c r="AX53" s="39"/>
      <c r="AY53" s="39"/>
    </row>
    <row r="54" spans="1:51" x14ac:dyDescent="0.25">
      <c r="A54" s="30">
        <v>2019</v>
      </c>
      <c r="B54" s="33">
        <f>w_uf*UF*Parámetros!C41</f>
        <v>838302.88098108873</v>
      </c>
      <c r="C54" s="30">
        <f t="shared" si="211"/>
        <v>40</v>
      </c>
      <c r="D54" s="30">
        <f>((A54=Inputs!$C$12)*(Inputs!$D$12) + (A54=Inputs!$C$13)*(Inputs!$D$13) + (A54=Inputs!$C$14)*(Inputs!$D$14)) *(A54 &gt;= a_afil)*(A54&gt;=2024)</f>
        <v>0</v>
      </c>
      <c r="E54" s="30">
        <v>0</v>
      </c>
      <c r="F54" s="30">
        <f t="shared" si="180"/>
        <v>1</v>
      </c>
      <c r="G54" s="30">
        <f t="shared" si="181"/>
        <v>1</v>
      </c>
      <c r="H54" s="30">
        <v>0.49437671899795532</v>
      </c>
      <c r="I54" s="37">
        <f t="shared" si="10"/>
        <v>0.57999999999999996</v>
      </c>
      <c r="J54" s="37">
        <f t="shared" si="11"/>
        <v>0.57999999999999996</v>
      </c>
      <c r="K54" s="84"/>
      <c r="L54" s="71"/>
      <c r="M54" s="87"/>
      <c r="N54" s="47"/>
      <c r="O54" s="47"/>
      <c r="P54" s="47"/>
      <c r="Q54" s="54">
        <f t="shared" si="207"/>
        <v>583458.80516283773</v>
      </c>
      <c r="R54" s="54">
        <f t="shared" si="208"/>
        <v>583458.80516283773</v>
      </c>
      <c r="S54" s="54">
        <f t="shared" si="209"/>
        <v>583458.80516283773</v>
      </c>
      <c r="T54" s="54">
        <f t="shared" si="210"/>
        <v>583458.80516283773</v>
      </c>
      <c r="U54" s="47"/>
      <c r="V54" s="47"/>
      <c r="W54" s="47"/>
      <c r="X54" s="54">
        <f t="shared" si="194"/>
        <v>11314793.317068191</v>
      </c>
      <c r="Y54" s="54">
        <f t="shared" si="195"/>
        <v>11314793.317068191</v>
      </c>
      <c r="Z54" s="54">
        <f t="shared" si="27"/>
        <v>11314793.317068191</v>
      </c>
      <c r="AA54" s="54">
        <f t="shared" si="28"/>
        <v>11314793.317068191</v>
      </c>
      <c r="AG54" s="52">
        <f t="shared" si="186"/>
        <v>0</v>
      </c>
      <c r="AH54" s="52">
        <f t="shared" si="187"/>
        <v>0</v>
      </c>
      <c r="AI54" s="52">
        <f t="shared" si="17"/>
        <v>0</v>
      </c>
      <c r="AJ54" s="52">
        <f t="shared" si="18"/>
        <v>0</v>
      </c>
      <c r="AK54" s="30"/>
      <c r="AL54" s="30"/>
      <c r="AM54" s="30"/>
      <c r="AN54" s="30"/>
      <c r="AO54" s="30"/>
      <c r="AP54" s="30"/>
      <c r="AS54" s="39"/>
      <c r="AT54" s="47"/>
      <c r="AU54" s="47"/>
      <c r="AV54" s="52">
        <f t="shared" si="19"/>
        <v>0</v>
      </c>
      <c r="AW54" s="52">
        <f t="shared" si="188"/>
        <v>0</v>
      </c>
      <c r="AX54" s="39"/>
      <c r="AY54" s="39"/>
    </row>
    <row r="55" spans="1:51" x14ac:dyDescent="0.25">
      <c r="A55" s="30">
        <v>2020</v>
      </c>
      <c r="B55" s="33">
        <f>w_uf*UF*Parámetros!C42</f>
        <v>855481.18804282811</v>
      </c>
      <c r="C55" s="30">
        <f t="shared" si="211"/>
        <v>41</v>
      </c>
      <c r="D55" s="30">
        <f>((A55=Inputs!$C$12)*(Inputs!$D$12) + (A55=Inputs!$C$13)*(Inputs!$D$13) + (A55=Inputs!$C$14)*(Inputs!$D$14)) *(A55 &gt;= a_afil)*(A55&gt;=2024)</f>
        <v>0</v>
      </c>
      <c r="E55" s="30">
        <v>0</v>
      </c>
      <c r="F55" s="30">
        <f t="shared" si="180"/>
        <v>1</v>
      </c>
      <c r="G55" s="30">
        <f t="shared" si="181"/>
        <v>1</v>
      </c>
      <c r="H55" s="30">
        <v>0.97296667098999023</v>
      </c>
      <c r="I55" s="37">
        <f t="shared" si="10"/>
        <v>0.57999999999999996</v>
      </c>
      <c r="J55" s="37">
        <f t="shared" si="11"/>
        <v>0.57999999999999996</v>
      </c>
      <c r="K55" s="84"/>
      <c r="L55" s="71"/>
      <c r="M55" s="97"/>
      <c r="N55" s="98"/>
      <c r="O55" s="98"/>
      <c r="P55" s="98"/>
      <c r="Q55" s="192">
        <f t="shared" si="207"/>
        <v>595414.90687780839</v>
      </c>
      <c r="R55" s="192">
        <f t="shared" si="208"/>
        <v>595414.90687780839</v>
      </c>
      <c r="S55" s="192">
        <f t="shared" si="209"/>
        <v>595414.90687780839</v>
      </c>
      <c r="T55" s="192">
        <f t="shared" si="210"/>
        <v>595414.90687780839</v>
      </c>
      <c r="U55" s="98"/>
      <c r="V55" s="98"/>
      <c r="W55" s="98"/>
      <c r="X55" s="192">
        <f t="shared" si="194"/>
        <v>13602901.3041794</v>
      </c>
      <c r="Y55" s="192">
        <f t="shared" si="195"/>
        <v>13602901.3041794</v>
      </c>
      <c r="Z55" s="192">
        <f t="shared" si="27"/>
        <v>13602901.3041794</v>
      </c>
      <c r="AA55" s="192">
        <f t="shared" si="28"/>
        <v>13602901.3041794</v>
      </c>
      <c r="AB55" s="96"/>
      <c r="AC55" s="96"/>
      <c r="AD55" s="96"/>
      <c r="AE55" s="96"/>
      <c r="AF55" s="96"/>
      <c r="AG55" s="189">
        <f t="shared" si="186"/>
        <v>0</v>
      </c>
      <c r="AH55" s="52">
        <f t="shared" si="187"/>
        <v>0</v>
      </c>
      <c r="AI55" s="189">
        <f t="shared" si="17"/>
        <v>0</v>
      </c>
      <c r="AJ55" s="189">
        <f t="shared" si="18"/>
        <v>0</v>
      </c>
      <c r="AK55" s="30"/>
      <c r="AL55" s="30"/>
      <c r="AM55" s="30"/>
      <c r="AN55" s="30"/>
      <c r="AO55" s="30"/>
      <c r="AP55" s="30"/>
      <c r="AS55" s="39"/>
      <c r="AT55" s="98"/>
      <c r="AU55" s="98"/>
      <c r="AV55" s="189">
        <f t="shared" si="19"/>
        <v>0</v>
      </c>
      <c r="AW55" s="189">
        <f t="shared" si="188"/>
        <v>0</v>
      </c>
      <c r="AX55" s="39"/>
      <c r="AY55" s="39"/>
    </row>
    <row r="56" spans="1:51" x14ac:dyDescent="0.25">
      <c r="A56" s="30">
        <v>2021</v>
      </c>
      <c r="B56" s="33">
        <f>w_uf*UF*Parámetros!C43</f>
        <v>860479.05786741071</v>
      </c>
      <c r="C56" s="30">
        <f t="shared" si="211"/>
        <v>42</v>
      </c>
      <c r="D56" s="30">
        <f>((A56=Inputs!$C$12)*(Inputs!$D$12) + (A56=Inputs!$C$13)*(Inputs!$D$13) + (A56=Inputs!$C$14)*(Inputs!$D$14)) *(A56 &gt;= a_afil)*(A56&gt;=2024)</f>
        <v>0</v>
      </c>
      <c r="E56" s="30">
        <v>0</v>
      </c>
      <c r="F56" s="30">
        <f t="shared" si="180"/>
        <v>1</v>
      </c>
      <c r="G56" s="30">
        <f t="shared" si="181"/>
        <v>1</v>
      </c>
      <c r="H56" s="30">
        <v>0.2177998423576355</v>
      </c>
      <c r="I56" s="37">
        <f t="shared" si="10"/>
        <v>0.57999999999999996</v>
      </c>
      <c r="J56" s="37">
        <f t="shared" si="11"/>
        <v>0.57999999999999996</v>
      </c>
      <c r="K56" s="84"/>
      <c r="L56" s="71"/>
      <c r="M56" s="47"/>
      <c r="N56" s="47"/>
      <c r="O56" s="47"/>
      <c r="P56" s="47"/>
      <c r="Q56" s="54">
        <f t="shared" ref="Q56" si="212">MIN($B56,_xlfn.XLOOKUP($A56,agnos,tope_base)*UF)*12*I56*$X$2</f>
        <v>598893.42427571793</v>
      </c>
      <c r="R56" s="54">
        <f t="shared" ref="R56" si="213">MIN($B56,_xlfn.XLOOKUP($A56,agnos,tope_base)*UF)*12*J56*$X$2</f>
        <v>598893.42427571793</v>
      </c>
      <c r="S56" s="54">
        <f t="shared" ref="S56" si="214">MIN($B56,_xlfn.XLOOKUP($A56,agnos,tope_base)*UF)*12*I56*$X$2</f>
        <v>598893.42427571793</v>
      </c>
      <c r="T56" s="54">
        <f t="shared" ref="T56" si="215">MIN($B56,_xlfn.XLOOKUP($A56,agnos,tope_base)*UF)*12*J56*$X$2</f>
        <v>598893.42427571793</v>
      </c>
      <c r="U56" s="47"/>
      <c r="V56" s="47"/>
      <c r="W56" s="47"/>
      <c r="X56" s="54">
        <f t="shared" si="194"/>
        <v>14789440.064795667</v>
      </c>
      <c r="Y56" s="54">
        <f t="shared" si="195"/>
        <v>14789440.064795667</v>
      </c>
      <c r="Z56" s="54">
        <f t="shared" si="27"/>
        <v>14789440.064795667</v>
      </c>
      <c r="AA56" s="54">
        <f t="shared" si="28"/>
        <v>14789440.064795667</v>
      </c>
      <c r="AG56" s="52">
        <f t="shared" si="186"/>
        <v>0</v>
      </c>
      <c r="AH56" s="52">
        <f t="shared" si="187"/>
        <v>0</v>
      </c>
      <c r="AI56" s="52">
        <f t="shared" si="17"/>
        <v>0</v>
      </c>
      <c r="AJ56" s="52">
        <f t="shared" si="18"/>
        <v>0</v>
      </c>
      <c r="AK56" s="30"/>
      <c r="AL56" s="30"/>
      <c r="AM56" s="30"/>
      <c r="AN56" s="30"/>
      <c r="AO56" s="30"/>
      <c r="AP56" s="30"/>
      <c r="AS56" s="39"/>
      <c r="AT56" s="47"/>
      <c r="AU56" s="47"/>
      <c r="AV56" s="189">
        <f t="shared" si="19"/>
        <v>0</v>
      </c>
      <c r="AW56" s="189">
        <f t="shared" si="188"/>
        <v>0</v>
      </c>
      <c r="AX56" s="39"/>
      <c r="AY56" s="39"/>
    </row>
    <row r="57" spans="1:51" x14ac:dyDescent="0.25">
      <c r="A57" s="30">
        <v>2022</v>
      </c>
      <c r="B57" s="33">
        <f>w_uf*UF*Parámetros!C44</f>
        <v>869749.058934264</v>
      </c>
      <c r="C57" s="30">
        <f t="shared" ref="C57" si="216">IF(AND(A57-a_nac&lt;=110,A57-a_nac&gt;0),A57-a_nac,"")</f>
        <v>43</v>
      </c>
      <c r="D57" s="30">
        <f>((A57=Inputs!$C$12)*(Inputs!$D$12) + (A57=Inputs!$C$13)*(Inputs!$D$13) + (A57=Inputs!$C$14)*(Inputs!$D$14)) *(A57 &gt;= a_afil)*(A57&gt;=2024)</f>
        <v>0</v>
      </c>
      <c r="E57" s="30">
        <v>0</v>
      </c>
      <c r="F57" s="30">
        <f t="shared" si="180"/>
        <v>1</v>
      </c>
      <c r="G57" s="30">
        <f t="shared" si="181"/>
        <v>1</v>
      </c>
      <c r="H57" s="30">
        <v>0.37899124622344971</v>
      </c>
      <c r="I57" s="37">
        <f t="shared" si="10"/>
        <v>0.57999999999999996</v>
      </c>
      <c r="J57" s="37">
        <f t="shared" si="11"/>
        <v>0.57999999999999996</v>
      </c>
      <c r="K57" s="84"/>
      <c r="L57" s="71"/>
      <c r="M57" s="47"/>
      <c r="N57" s="47"/>
      <c r="O57" s="47"/>
      <c r="P57" s="47"/>
      <c r="Q57" s="54">
        <f t="shared" ref="Q57:Q58" si="217">MIN($B57,_xlfn.XLOOKUP($A57,agnos,tope_base)*UF)*12*I57*$X$2</f>
        <v>605345.34501824772</v>
      </c>
      <c r="R57" s="54">
        <f t="shared" ref="R57:R58" si="218">MIN($B57,_xlfn.XLOOKUP($A57,agnos,tope_base)*UF)*12*J57*$X$2</f>
        <v>605345.34501824772</v>
      </c>
      <c r="S57" s="54">
        <f t="shared" ref="S57:S58" si="219">MIN($B57,_xlfn.XLOOKUP($A57,agnos,tope_base)*UF)*12*I57*$X$2</f>
        <v>605345.34501824772</v>
      </c>
      <c r="T57" s="54">
        <f t="shared" ref="T57:T58" si="220">MIN($B57,_xlfn.XLOOKUP($A57,agnos,tope_base)*UF)*12*J57*$X$2</f>
        <v>605345.34501824772</v>
      </c>
      <c r="U57" s="47"/>
      <c r="V57" s="178"/>
      <c r="W57" s="47"/>
      <c r="X57" s="54">
        <f t="shared" si="194"/>
        <v>15047233.568291217</v>
      </c>
      <c r="Y57" s="54">
        <f t="shared" si="195"/>
        <v>15047233.568291217</v>
      </c>
      <c r="Z57" s="54">
        <f t="shared" si="27"/>
        <v>15047233.568291217</v>
      </c>
      <c r="AA57" s="54">
        <f t="shared" si="28"/>
        <v>15047233.568291217</v>
      </c>
      <c r="AG57" s="52">
        <f t="shared" si="186"/>
        <v>0</v>
      </c>
      <c r="AH57" s="52">
        <f t="shared" si="187"/>
        <v>0</v>
      </c>
      <c r="AI57" s="52">
        <f t="shared" si="17"/>
        <v>0</v>
      </c>
      <c r="AJ57" s="52">
        <f t="shared" si="18"/>
        <v>0</v>
      </c>
      <c r="AK57" s="30"/>
      <c r="AL57" s="30"/>
      <c r="AM57" s="30"/>
      <c r="AN57" s="30"/>
      <c r="AO57" s="30"/>
      <c r="AP57" s="30"/>
      <c r="AS57" s="39"/>
      <c r="AT57" s="178"/>
      <c r="AU57" s="47"/>
      <c r="AV57" s="52">
        <f t="shared" si="19"/>
        <v>0</v>
      </c>
      <c r="AW57" s="52">
        <f t="shared" si="188"/>
        <v>0</v>
      </c>
      <c r="AX57" s="39"/>
      <c r="AY57" s="39"/>
    </row>
    <row r="58" spans="1:51" s="94" customFormat="1" x14ac:dyDescent="0.25">
      <c r="A58" s="125">
        <v>2023</v>
      </c>
      <c r="B58" s="126">
        <f>w_uf*UF*Parámetros!C45</f>
        <v>849382.71604938281</v>
      </c>
      <c r="C58" s="125">
        <f t="shared" ref="C58:C79" si="221">IF(AND(A58-a_nac&lt;=110,A58-a_nac&gt;0),A58-a_nac,"")</f>
        <v>44</v>
      </c>
      <c r="D58" s="125">
        <f>((A58=Inputs!$C$12)*(Inputs!$D$12) + (A58=Inputs!$C$13)*(Inputs!$D$13) + (A58=Inputs!$C$14)*(Inputs!$D$14)) *(A58 &gt;= a_afil)*(A58&gt;=2024)</f>
        <v>0</v>
      </c>
      <c r="E58" s="125">
        <v>0</v>
      </c>
      <c r="F58" s="125">
        <f t="shared" si="180"/>
        <v>1</v>
      </c>
      <c r="G58" s="125">
        <f t="shared" si="181"/>
        <v>1</v>
      </c>
      <c r="H58" s="125">
        <v>0.39584428071975708</v>
      </c>
      <c r="I58" s="127">
        <f t="shared" si="10"/>
        <v>0.57999999999999996</v>
      </c>
      <c r="J58" s="127">
        <f t="shared" si="11"/>
        <v>0.57999999999999996</v>
      </c>
      <c r="K58" s="125"/>
      <c r="L58" s="125"/>
      <c r="M58" s="128"/>
      <c r="N58" s="129"/>
      <c r="O58" s="129"/>
      <c r="P58" s="129"/>
      <c r="Q58" s="193">
        <f t="shared" si="217"/>
        <v>591170.37037037034</v>
      </c>
      <c r="R58" s="193">
        <f t="shared" si="218"/>
        <v>591170.37037037034</v>
      </c>
      <c r="S58" s="142">
        <f t="shared" si="219"/>
        <v>591170.37037037034</v>
      </c>
      <c r="T58" s="142">
        <f t="shared" si="220"/>
        <v>591170.37037037034</v>
      </c>
      <c r="U58" s="129"/>
      <c r="V58" s="205"/>
      <c r="W58" s="205"/>
      <c r="X58" s="193">
        <f t="shared" si="194"/>
        <v>14252553.727021966</v>
      </c>
      <c r="Y58" s="193">
        <f t="shared" si="195"/>
        <v>14252553.727021966</v>
      </c>
      <c r="Z58" s="193">
        <f t="shared" si="27"/>
        <v>14252553.727021966</v>
      </c>
      <c r="AA58" s="193">
        <f t="shared" si="28"/>
        <v>14252553.727021966</v>
      </c>
      <c r="AB58" s="125"/>
      <c r="AC58" s="125"/>
      <c r="AD58" s="125"/>
      <c r="AE58" s="125"/>
      <c r="AF58" s="125"/>
      <c r="AG58" s="190">
        <f t="shared" si="186"/>
        <v>0</v>
      </c>
      <c r="AH58" s="191">
        <f t="shared" si="187"/>
        <v>0</v>
      </c>
      <c r="AI58" s="190">
        <f t="shared" si="17"/>
        <v>0</v>
      </c>
      <c r="AJ58" s="190">
        <f t="shared" si="18"/>
        <v>0</v>
      </c>
      <c r="AK58" s="125"/>
      <c r="AL58" s="125"/>
      <c r="AM58" s="125"/>
      <c r="AN58" s="125"/>
      <c r="AO58" s="125"/>
      <c r="AP58" s="125"/>
      <c r="AQ58" s="125"/>
      <c r="AR58" s="125"/>
      <c r="AS58" s="95"/>
      <c r="AT58" s="98"/>
      <c r="AU58" s="98"/>
      <c r="AV58" s="191">
        <f t="shared" si="19"/>
        <v>0</v>
      </c>
      <c r="AW58" s="191">
        <f t="shared" si="188"/>
        <v>0</v>
      </c>
      <c r="AX58" s="95"/>
      <c r="AY58" s="95"/>
    </row>
    <row r="59" spans="1:51" s="69" customFormat="1" x14ac:dyDescent="0.25">
      <c r="A59" s="69">
        <v>2024</v>
      </c>
      <c r="B59" s="66">
        <f>w_uf*UF*Parámetros!C46</f>
        <v>860000</v>
      </c>
      <c r="C59" s="69">
        <f t="shared" si="221"/>
        <v>45</v>
      </c>
      <c r="D59" s="69">
        <f>((A59=Inputs!$C$12)*(Inputs!$D$12) + (A59=Inputs!$C$13)*(Inputs!$D$13) + (A59=Inputs!$C$14)*(Inputs!$D$14)) *(A59 &gt;= a_afil)*(A59&gt;=2024)</f>
        <v>0</v>
      </c>
      <c r="E59" s="69">
        <f>MIN(1,(A59=Inputs!$C$19)*Inputs!$D$19+(A59=Inputs!$C$20)*Inputs!$D$20+(A59=Inputs!$C$21)*Inputs!$D$21 * (A59 &gt;= a_afil))</f>
        <v>0</v>
      </c>
      <c r="F59" s="69">
        <f t="shared" si="180"/>
        <v>1</v>
      </c>
      <c r="G59" s="69">
        <f t="shared" si="181"/>
        <v>1</v>
      </c>
      <c r="H59" s="69">
        <v>0.28150343894958496</v>
      </c>
      <c r="I59" s="67">
        <f t="shared" ref="I59:I89" si="222">IF(F59=1,+dens_cot,0)</f>
        <v>0.57999999999999996</v>
      </c>
      <c r="J59" s="67">
        <f t="shared" ref="J59:J89" si="223">IF(G59=1,+dens_mujer,0)</f>
        <v>0.57999999999999996</v>
      </c>
      <c r="K59" s="65">
        <f>1*OR(Inputs!$D$17=$A59,Inputs!$E$17=$A59)*($E59=0)*(F59=1)</f>
        <v>0</v>
      </c>
      <c r="L59" s="65">
        <f>1*OR(Inputs!$D$17=$A59,Inputs!$E$17=$A59)*($E59=0)*(G59=1)</f>
        <v>0</v>
      </c>
      <c r="M59" s="90">
        <f t="shared" ref="M59:N63" si="224">MIN($B59,_xlfn.XLOOKUP($A59,agnos,tope_ref_ind)*UF)*12*I59*$AY59</f>
        <v>0</v>
      </c>
      <c r="N59" s="90">
        <f t="shared" si="224"/>
        <v>0</v>
      </c>
      <c r="O59" s="91">
        <f>Parámetros!$E46*12*I59*$AY59</f>
        <v>0</v>
      </c>
      <c r="P59" s="91">
        <f>Parámetros!$E46*12*J59*$AY59</f>
        <v>0</v>
      </c>
      <c r="Q59" s="70">
        <f t="shared" ref="Q59:Q122" si="225">MIN($B59,_xlfn.XLOOKUP($A59,agnos,tope_base)*UF)*12*I59*$X$2</f>
        <v>598560</v>
      </c>
      <c r="R59" s="70">
        <f t="shared" ref="R59:R122" si="226">MIN($B59,_xlfn.XLOOKUP($A59,agnos,tope_base)*UF)*12*J59*$X$2</f>
        <v>598560</v>
      </c>
      <c r="S59" s="203">
        <f>MIN($B59,_xlfn.XLOOKUP($A59,agnos,tope_ref_ind)*UF) * 12*I59*$X$2</f>
        <v>598560</v>
      </c>
      <c r="T59" s="203">
        <f>MIN($B59,_xlfn.XLOOKUP($A59,agnos,tope_ref_ind)*UF) * 12*J59*$X$2</f>
        <v>598560</v>
      </c>
      <c r="U59" s="177"/>
      <c r="V59" s="91">
        <f>M59*alpha+O59*(1-alpha)+F58*V58*(1+_xlfn.XLOOKUP(MIN(2024,$A58),agnos_rent,rent_base))</f>
        <v>0</v>
      </c>
      <c r="W59" s="91">
        <f>N59*alpha+P59*(1-alpha)+G58*W58*(1+_xlfn.XLOOKUP(MIN(2024,$A58),agnos_rent,rent_base))</f>
        <v>0</v>
      </c>
      <c r="X59" s="70">
        <f t="shared" si="194"/>
        <v>15332850.042995309</v>
      </c>
      <c r="Y59" s="70">
        <f t="shared" si="195"/>
        <v>15332850.042995309</v>
      </c>
      <c r="Z59" s="179">
        <f>S59+IF(F58,Z58*(1+_xlfn.XLOOKUP(MIN(2024,$A58),agnos_rent,rent_base)),0)</f>
        <v>15332850.042995309</v>
      </c>
      <c r="AA59" s="179">
        <f>T59+IF(G58,AA58*(1+_xlfn.XLOOKUP(MIN(2024,$A58),agnos_rent,rent_base)),0)</f>
        <v>15332850.042995309</v>
      </c>
      <c r="AB59" s="204">
        <f>D59*mmater*Parámetros!$G46*$X$5</f>
        <v>0</v>
      </c>
      <c r="AC59" s="204">
        <f>E59*12*Parámetros!$F46*$X$5</f>
        <v>0</v>
      </c>
      <c r="AD59" s="56"/>
      <c r="AE59" s="56"/>
      <c r="AF59" s="175"/>
      <c r="AG59" s="74">
        <f t="shared" si="186"/>
        <v>0</v>
      </c>
      <c r="AH59" s="74">
        <f t="shared" si="187"/>
        <v>0</v>
      </c>
      <c r="AI59" s="56">
        <f t="shared" ref="AI59:AI90" si="227">($A59=D$9)*SUM(V59,Z59)/(12*_xlfn.XLOOKUP(AI$15,sexo_cnu,cnu))</f>
        <v>0</v>
      </c>
      <c r="AJ59" s="56">
        <f t="shared" ref="AJ59:AJ90" si="228">($A59=E$9)*SUM(W59,AA59)/(12*_xlfn.XLOOKUP(AJ$15,sexo_cnu,cnu))</f>
        <v>0</v>
      </c>
      <c r="AK59" s="56"/>
      <c r="AL59" s="56"/>
      <c r="AM59" s="56"/>
      <c r="AN59" s="56"/>
      <c r="AO59" s="56">
        <f t="shared" ref="AO59:AO90" si="229">($A59=E$9)*AB59/(12*_xlfn.XLOOKUP(AO$15,sexo_cnu,cnu_noc))</f>
        <v>0</v>
      </c>
      <c r="AP59" s="56">
        <f t="shared" ref="AP59:AP90" si="230">($A59=E$9)*AC59/(12*_xlfn.XLOOKUP(AP$15,sexo_cnu,cnu_noc))</f>
        <v>0</v>
      </c>
      <c r="AQ59" s="56">
        <f t="shared" ref="AQ59:AQ90" si="231">($A59=D$9)*AD59/(12*_xlfn.XLOOKUP(AQ$15,sexo_cnu,cnu_noc))</f>
        <v>0</v>
      </c>
      <c r="AR59" s="56">
        <f t="shared" ref="AR59:AR90" si="232">($A59=E$9)*AE59/(12*_xlfn.XLOOKUP(AR$15,sexo_cnu,cnu_noc))</f>
        <v>0</v>
      </c>
      <c r="AS59" s="93"/>
      <c r="AT59" s="187">
        <f t="shared" ref="AT59:AT90" si="233">IF($A59=a_nac+edad_ret_h,V59/(12*_xlfn.XLOOKUP(AT$15,sexo_cnu,cnu)),0)</f>
        <v>0</v>
      </c>
      <c r="AU59" s="187">
        <f t="shared" ref="AU59:AU90" si="234">IF($A59=a_nac+edad_ret_m,W59/(12*_xlfn.XLOOKUP(AU$15,sexo_cnu,cnu)),0)</f>
        <v>0</v>
      </c>
      <c r="AV59" s="187">
        <f t="shared" ref="AV59:AV90" si="235">IF($A59=a_nac+edad_ret_h,Z59/(12*_xlfn.XLOOKUP(AV$15,sexo_cnu,cnu)),0)</f>
        <v>0</v>
      </c>
      <c r="AW59" s="187">
        <f t="shared" si="188"/>
        <v>0</v>
      </c>
      <c r="AX59" s="93"/>
      <c r="AY59" s="250">
        <v>0</v>
      </c>
    </row>
    <row r="60" spans="1:51" x14ac:dyDescent="0.25">
      <c r="A60" s="30">
        <v>2025</v>
      </c>
      <c r="B60" s="33">
        <f>w_uf*UF*Parámetros!C47</f>
        <v>870750</v>
      </c>
      <c r="C60" s="30">
        <f t="shared" si="221"/>
        <v>46</v>
      </c>
      <c r="D60" s="30">
        <f>((A60=Inputs!$C$12)*(Inputs!$D$12) + (A60=Inputs!$C$13)*(Inputs!$D$13) + (A60=Inputs!$C$14)*(Inputs!$D$14)) *(A60 &gt;= a_afil)*(A60&gt;=2024)</f>
        <v>0</v>
      </c>
      <c r="E60" s="30">
        <f>MIN(1,(A60=Inputs!$C$19)*Inputs!$D$19+(A60=Inputs!$C$20)*Inputs!$D$20+(A60=Inputs!$C$21)*Inputs!$D$21*(A60 &gt;= a_afil))</f>
        <v>0</v>
      </c>
      <c r="F60" s="30">
        <f t="shared" si="180"/>
        <v>1</v>
      </c>
      <c r="G60" s="30">
        <f t="shared" si="181"/>
        <v>1</v>
      </c>
      <c r="H60" s="30">
        <v>0.50337117910385132</v>
      </c>
      <c r="I60" s="37">
        <f t="shared" si="222"/>
        <v>0.57999999999999996</v>
      </c>
      <c r="J60" s="37">
        <f t="shared" si="223"/>
        <v>0.57999999999999996</v>
      </c>
      <c r="K60" s="30">
        <f>1*OR(Inputs!$D$17=$A60,Inputs!$E$17=$A60)*($E60=0)*(F60=1)</f>
        <v>0</v>
      </c>
      <c r="L60" s="30">
        <f>1*OR(Inputs!$D$17=$A60,Inputs!$E$17=$A60)*($E60=0)*(G60=1)</f>
        <v>0</v>
      </c>
      <c r="M60" s="90">
        <f t="shared" si="224"/>
        <v>0</v>
      </c>
      <c r="N60" s="90">
        <f t="shared" si="224"/>
        <v>0</v>
      </c>
      <c r="O60" s="76">
        <f>Parámetros!$E47*12*I60*$AY60</f>
        <v>0</v>
      </c>
      <c r="P60" s="76">
        <f>Parámetros!$E47*12*J60*$AY60</f>
        <v>0</v>
      </c>
      <c r="Q60" s="70">
        <f t="shared" si="225"/>
        <v>606042</v>
      </c>
      <c r="R60" s="70">
        <f t="shared" si="226"/>
        <v>606042</v>
      </c>
      <c r="S60" s="203">
        <f>MIN($B60,_xlfn.XLOOKUP($A60,agnos,tope_ref_ind)*UF) * 12*I60*$X$2</f>
        <v>606042</v>
      </c>
      <c r="T60" s="203">
        <f>MIN($B60,_xlfn.XLOOKUP($A60,agnos,tope_ref_ind)*UF) * 12*J60*$X$2</f>
        <v>606042</v>
      </c>
      <c r="U60" s="177"/>
      <c r="V60" s="76">
        <f>M60*alpha+O60*(1-alpha)+F59*V59*(1+_xlfn.XLOOKUP(MIN(2024,$A59),agnos_rent,rent_base))</f>
        <v>0</v>
      </c>
      <c r="W60" s="76">
        <f>N60*alpha+P60*(1-alpha)+G59*W59*(1+_xlfn.XLOOKUP(MIN(2024,$A59),agnos_rent,rent_base))</f>
        <v>0</v>
      </c>
      <c r="X60" s="54">
        <f t="shared" si="194"/>
        <v>16457142.374448551</v>
      </c>
      <c r="Y60" s="54">
        <f t="shared" si="195"/>
        <v>16457142.374448551</v>
      </c>
      <c r="Z60" s="76">
        <f>S60+IF(F59,Z59*(1+_xlfn.XLOOKUP(MIN(2024,$A59),agnos_rent,rent_base)),0)</f>
        <v>16457142.374448551</v>
      </c>
      <c r="AA60" s="76">
        <f>T60+IF(G59,AA59*(1+_xlfn.XLOOKUP(MIN(2024,$A59),agnos_rent,rent_base)),0)</f>
        <v>16457142.374448551</v>
      </c>
      <c r="AB60" s="53">
        <f>D60*mmater*Parámetros!$G47*$X$5+AB59*(1+i_noc)</f>
        <v>0</v>
      </c>
      <c r="AC60" s="53">
        <f>E60*12*Parámetros!$F47*$X$5+AC59*(1+i_noc)</f>
        <v>0</v>
      </c>
      <c r="AD60" s="53"/>
      <c r="AE60" s="53"/>
      <c r="AF60" s="175"/>
      <c r="AG60" s="74">
        <f t="shared" si="186"/>
        <v>0</v>
      </c>
      <c r="AH60" s="52">
        <f t="shared" si="187"/>
        <v>0</v>
      </c>
      <c r="AI60" s="56">
        <f t="shared" si="227"/>
        <v>0</v>
      </c>
      <c r="AJ60" s="56">
        <f t="shared" si="228"/>
        <v>0</v>
      </c>
      <c r="AK60" s="56"/>
      <c r="AL60" s="56"/>
      <c r="AM60" s="56"/>
      <c r="AN60" s="56"/>
      <c r="AO60" s="56">
        <f t="shared" si="229"/>
        <v>0</v>
      </c>
      <c r="AP60" s="56">
        <f t="shared" si="230"/>
        <v>0</v>
      </c>
      <c r="AQ60" s="53">
        <f t="shared" si="231"/>
        <v>0</v>
      </c>
      <c r="AR60" s="53">
        <f t="shared" si="232"/>
        <v>0</v>
      </c>
      <c r="AS60" s="39"/>
      <c r="AT60" s="68">
        <f t="shared" si="233"/>
        <v>0</v>
      </c>
      <c r="AU60" s="68">
        <f t="shared" si="234"/>
        <v>0</v>
      </c>
      <c r="AV60" s="68">
        <f t="shared" si="235"/>
        <v>0</v>
      </c>
      <c r="AW60" s="68">
        <f t="shared" si="188"/>
        <v>0</v>
      </c>
      <c r="AX60" s="39"/>
      <c r="AY60" s="251">
        <v>0</v>
      </c>
    </row>
    <row r="61" spans="1:51" s="47" customFormat="1" x14ac:dyDescent="0.25">
      <c r="A61" s="47">
        <v>2026</v>
      </c>
      <c r="B61" s="33">
        <f>w_uf*UF*Parámetros!C48</f>
        <v>881634.375</v>
      </c>
      <c r="C61" s="47">
        <f t="shared" si="221"/>
        <v>47</v>
      </c>
      <c r="D61" s="47">
        <f>((A61=Inputs!$C$12)*(Inputs!$D$12) + (A61=Inputs!$C$13)*(Inputs!$D$13) + (A61=Inputs!$C$14)*(Inputs!$D$14)) *(A61 &gt;= a_afil)*(A61&gt;=2024)</f>
        <v>0</v>
      </c>
      <c r="E61" s="47">
        <f>MIN(1,(A61=Inputs!$C$19)*Inputs!$D$19+(A61=Inputs!$C$20)*Inputs!$D$20+(A61=Inputs!$C$21)*Inputs!$D$21*(A61 &gt;= a_afil))</f>
        <v>0</v>
      </c>
      <c r="F61" s="47">
        <f t="shared" si="180"/>
        <v>1</v>
      </c>
      <c r="G61" s="47">
        <f t="shared" si="181"/>
        <v>1</v>
      </c>
      <c r="H61" s="47">
        <v>0.13873231410980225</v>
      </c>
      <c r="I61" s="37">
        <f t="shared" si="222"/>
        <v>0.57999999999999996</v>
      </c>
      <c r="J61" s="37">
        <f t="shared" si="223"/>
        <v>0.57999999999999996</v>
      </c>
      <c r="K61" s="30">
        <f>1*OR(Inputs!$D$17=$A61,Inputs!$E$17=$A61)*($E61=0)*(F61=1)</f>
        <v>0</v>
      </c>
      <c r="L61" s="30">
        <f>1*OR(Inputs!$D$17=$A61,Inputs!$E$17=$A61)*($E61=0)*(G61=1)</f>
        <v>0</v>
      </c>
      <c r="M61" s="90">
        <f t="shared" si="224"/>
        <v>0</v>
      </c>
      <c r="N61" s="90">
        <f t="shared" si="224"/>
        <v>0</v>
      </c>
      <c r="O61" s="76">
        <f>Parámetros!$E48*12*I61*$AY61</f>
        <v>0</v>
      </c>
      <c r="P61" s="76">
        <f>Parámetros!$E48*12*J61*$AY61</f>
        <v>0</v>
      </c>
      <c r="Q61" s="70">
        <f t="shared" si="225"/>
        <v>613617.52500000002</v>
      </c>
      <c r="R61" s="70">
        <f t="shared" si="226"/>
        <v>613617.52500000002</v>
      </c>
      <c r="S61" s="76">
        <f t="shared" ref="S61:T63" si="236">MIN($B61,_xlfn.XLOOKUP($A61,agnos,tope_ref_ind)*UF) * (12*I61*$X$3 +  K61*_xlfn.XLOOKUP(n_mes_laguna,giros_sc,tr_sc_acum)*($X$3+$AY61))</f>
        <v>644298.40125</v>
      </c>
      <c r="T61" s="76">
        <f t="shared" si="236"/>
        <v>644298.40125</v>
      </c>
      <c r="U61" s="177"/>
      <c r="V61" s="68">
        <f t="shared" ref="V61:V92" si="237">M61*alpha+O61*(1-alpha)+F60*V60*(1+_xlfn.XLOOKUP(MIN(2024,$A60),agnos_rent,rent_base))*(1-$X$6)</f>
        <v>0</v>
      </c>
      <c r="W61" s="68">
        <f t="shared" ref="W61:W92" si="238">N61*alpha+P61*(1-alpha)+G60*W60*(1+_xlfn.XLOOKUP(MIN(2024,$A60),agnos_rent,rent_base))*(1-$X$6)</f>
        <v>0</v>
      </c>
      <c r="X61" s="54">
        <f t="shared" si="194"/>
        <v>17627011.311704911</v>
      </c>
      <c r="Y61" s="54">
        <f t="shared" si="195"/>
        <v>17627011.311704911</v>
      </c>
      <c r="Z61" s="68">
        <f t="shared" ref="Z61:Z92" si="239">F60*Z60*(1+_xlfn.XLOOKUP(MIN(2024,$A60),agnos_rent,rent_base))*(1-$X$6)+S61</f>
        <v>17635915.043907933</v>
      </c>
      <c r="AA61" s="68">
        <f t="shared" ref="AA61:AA92" si="240">G60*AA60*(1+_xlfn.XLOOKUP(MIN(2024,$A60),agnos_rent,rent_base))*(1-$X$6)+T61</f>
        <v>17635915.043907933</v>
      </c>
      <c r="AB61" s="53">
        <f>D61*mmater*Parámetros!$G48*$X$5+AB60*(1+i_noc)</f>
        <v>0</v>
      </c>
      <c r="AC61" s="53">
        <f>E61*12*Parámetros!$F48*$X$5+AC60*(1+i_noc)</f>
        <v>0</v>
      </c>
      <c r="AD61" s="53"/>
      <c r="AE61" s="53"/>
      <c r="AF61" s="175"/>
      <c r="AG61" s="74">
        <f t="shared" si="186"/>
        <v>0</v>
      </c>
      <c r="AH61" s="52">
        <f t="shared" si="187"/>
        <v>0</v>
      </c>
      <c r="AI61" s="56">
        <f t="shared" si="227"/>
        <v>0</v>
      </c>
      <c r="AJ61" s="56">
        <f t="shared" si="228"/>
        <v>0</v>
      </c>
      <c r="AK61" s="56"/>
      <c r="AL61" s="56"/>
      <c r="AM61" s="56"/>
      <c r="AN61" s="56"/>
      <c r="AO61" s="56">
        <f t="shared" si="229"/>
        <v>0</v>
      </c>
      <c r="AP61" s="56">
        <f t="shared" si="230"/>
        <v>0</v>
      </c>
      <c r="AQ61" s="53">
        <f t="shared" si="231"/>
        <v>0</v>
      </c>
      <c r="AR61" s="53">
        <f t="shared" si="232"/>
        <v>0</v>
      </c>
      <c r="AS61" s="48"/>
      <c r="AT61" s="68">
        <f t="shared" si="233"/>
        <v>0</v>
      </c>
      <c r="AU61" s="68">
        <f t="shared" si="234"/>
        <v>0</v>
      </c>
      <c r="AV61" s="68">
        <f t="shared" si="235"/>
        <v>0</v>
      </c>
      <c r="AW61" s="68">
        <f t="shared" si="188"/>
        <v>0</v>
      </c>
      <c r="AX61" s="48"/>
      <c r="AY61" s="251">
        <v>0</v>
      </c>
    </row>
    <row r="62" spans="1:51" x14ac:dyDescent="0.25">
      <c r="A62" s="30">
        <v>2027</v>
      </c>
      <c r="B62" s="33">
        <f>w_uf*UF*Parámetros!C49</f>
        <v>892654.80468749988</v>
      </c>
      <c r="C62" s="30">
        <f t="shared" si="221"/>
        <v>48</v>
      </c>
      <c r="D62" s="30">
        <f>((A62=Inputs!$C$12)*(Inputs!$D$12) + (A62=Inputs!$C$13)*(Inputs!$D$13) + (A62=Inputs!$C$14)*(Inputs!$D$14)) *(A62 &gt;= a_afil)*(A62&gt;=2024)</f>
        <v>0</v>
      </c>
      <c r="E62" s="30">
        <f>MIN(1,(A62=Inputs!$C$19)*Inputs!$D$19+(A62=Inputs!$C$20)*Inputs!$D$20+(A62=Inputs!$C$21)*Inputs!$D$21*(A62 &gt;= a_afil))</f>
        <v>0</v>
      </c>
      <c r="F62" s="30">
        <f t="shared" si="180"/>
        <v>1</v>
      </c>
      <c r="G62" s="30">
        <f t="shared" si="181"/>
        <v>1</v>
      </c>
      <c r="H62" s="30">
        <v>0.51725584268569946</v>
      </c>
      <c r="I62" s="37">
        <f t="shared" si="222"/>
        <v>0.57999999999999996</v>
      </c>
      <c r="J62" s="37">
        <f t="shared" si="223"/>
        <v>0.57999999999999996</v>
      </c>
      <c r="K62" s="30">
        <f>1*OR(Inputs!$D$17=$A62,Inputs!$E$17=$A62)*($E62=0)*(F62=1)</f>
        <v>0</v>
      </c>
      <c r="L62" s="30">
        <f>1*OR(Inputs!$D$17=$A62,Inputs!$E$17=$A62)*($E62=0)*(G62=1)</f>
        <v>0</v>
      </c>
      <c r="M62" s="90">
        <f t="shared" si="224"/>
        <v>62128.774406249991</v>
      </c>
      <c r="N62" s="90">
        <f t="shared" si="224"/>
        <v>62128.774406249991</v>
      </c>
      <c r="O62" s="76">
        <f>Parámetros!$E49*12*I62*$AY62</f>
        <v>82734.69721204316</v>
      </c>
      <c r="P62" s="76">
        <f>Parámetros!$E49*12*J62*$AY62</f>
        <v>82734.69721204316</v>
      </c>
      <c r="Q62" s="70">
        <f t="shared" si="225"/>
        <v>621287.74406249996</v>
      </c>
      <c r="R62" s="70">
        <f t="shared" si="226"/>
        <v>621287.74406249996</v>
      </c>
      <c r="S62" s="76">
        <f t="shared" si="236"/>
        <v>652352.13126562489</v>
      </c>
      <c r="T62" s="76">
        <f t="shared" si="236"/>
        <v>652352.13126562489</v>
      </c>
      <c r="U62" s="177"/>
      <c r="V62" s="68">
        <f t="shared" si="237"/>
        <v>68310.551247987954</v>
      </c>
      <c r="W62" s="68">
        <f t="shared" si="238"/>
        <v>68310.551247987954</v>
      </c>
      <c r="X62" s="54">
        <f t="shared" si="194"/>
        <v>18844092.038103037</v>
      </c>
      <c r="Y62" s="54">
        <f t="shared" si="195"/>
        <v>18844092.038103037</v>
      </c>
      <c r="Z62" s="55">
        <f t="shared" si="239"/>
        <v>18861024.132172987</v>
      </c>
      <c r="AA62" s="55">
        <f t="shared" si="240"/>
        <v>18861024.132172987</v>
      </c>
      <c r="AB62" s="53">
        <f>D62*mmater*Parámetros!$G49*$X$5+AB61*(1+i_noc)</f>
        <v>0</v>
      </c>
      <c r="AC62" s="53">
        <f>E62*12*Parámetros!$F49*$X$5+AC61*(1+i_noc)</f>
        <v>0</v>
      </c>
      <c r="AD62" s="53"/>
      <c r="AE62" s="53"/>
      <c r="AF62" s="175"/>
      <c r="AG62" s="74">
        <f t="shared" si="186"/>
        <v>0</v>
      </c>
      <c r="AH62" s="52">
        <f t="shared" si="187"/>
        <v>0</v>
      </c>
      <c r="AI62" s="56">
        <f t="shared" si="227"/>
        <v>0</v>
      </c>
      <c r="AJ62" s="56">
        <f t="shared" si="228"/>
        <v>0</v>
      </c>
      <c r="AK62" s="56"/>
      <c r="AL62" s="56"/>
      <c r="AM62" s="56"/>
      <c r="AN62" s="56"/>
      <c r="AO62" s="56">
        <f t="shared" si="229"/>
        <v>0</v>
      </c>
      <c r="AP62" s="56">
        <f t="shared" si="230"/>
        <v>0</v>
      </c>
      <c r="AQ62" s="53">
        <f t="shared" si="231"/>
        <v>0</v>
      </c>
      <c r="AR62" s="53">
        <f t="shared" si="232"/>
        <v>0</v>
      </c>
      <c r="AS62" s="39"/>
      <c r="AT62" s="68">
        <f t="shared" si="233"/>
        <v>0</v>
      </c>
      <c r="AU62" s="68">
        <f t="shared" si="234"/>
        <v>0</v>
      </c>
      <c r="AV62" s="68">
        <f t="shared" si="235"/>
        <v>0</v>
      </c>
      <c r="AW62" s="68">
        <f t="shared" si="188"/>
        <v>0</v>
      </c>
      <c r="AX62" s="39"/>
      <c r="AY62" s="251">
        <v>0.01</v>
      </c>
    </row>
    <row r="63" spans="1:51" x14ac:dyDescent="0.25">
      <c r="A63" s="30">
        <v>2028</v>
      </c>
      <c r="B63" s="33">
        <f>w_uf*UF*Parámetros!C50</f>
        <v>903812.98974609352</v>
      </c>
      <c r="C63" s="30">
        <f t="shared" si="221"/>
        <v>49</v>
      </c>
      <c r="D63" s="30">
        <f>((A63=Inputs!$C$12)*(Inputs!$D$12) + (A63=Inputs!$C$13)*(Inputs!$D$13) + (A63=Inputs!$C$14)*(Inputs!$D$14)) *(A63 &gt;= a_afil)*(A63&gt;=2024)</f>
        <v>0</v>
      </c>
      <c r="E63" s="30">
        <f>MIN(1,(A63=Inputs!$C$19)*Inputs!$D$19+(A63=Inputs!$C$20)*Inputs!$D$20+(A63=Inputs!$C$21)*Inputs!$D$21*(A63 &gt;= a_afil))</f>
        <v>0</v>
      </c>
      <c r="F63" s="30">
        <f t="shared" si="180"/>
        <v>1</v>
      </c>
      <c r="G63" s="30">
        <f t="shared" si="181"/>
        <v>1</v>
      </c>
      <c r="H63" s="30">
        <v>0.96536445617675781</v>
      </c>
      <c r="I63" s="37">
        <f t="shared" si="222"/>
        <v>0.57999999999999996</v>
      </c>
      <c r="J63" s="37">
        <f t="shared" si="223"/>
        <v>0.57999999999999996</v>
      </c>
      <c r="K63" s="30">
        <f>1*OR(Inputs!$D$17=$A63,Inputs!$E$17=$A63)*($E63=0)*(F63=1)</f>
        <v>1</v>
      </c>
      <c r="L63" s="30">
        <f>1*OR(Inputs!$D$17=$A63,Inputs!$E$17=$A63)*($E63=0)*(G63=1)</f>
        <v>1</v>
      </c>
      <c r="M63" s="90">
        <f t="shared" si="224"/>
        <v>125810.7681726562</v>
      </c>
      <c r="N63" s="90">
        <f t="shared" si="224"/>
        <v>125810.7681726562</v>
      </c>
      <c r="O63" s="76">
        <f>Parámetros!$E50*12*I63*$AY63</f>
        <v>167537.76185438738</v>
      </c>
      <c r="P63" s="76">
        <f>Parámetros!$E50*12*J63*$AY63</f>
        <v>167537.76185438738</v>
      </c>
      <c r="Q63" s="70">
        <f t="shared" si="225"/>
        <v>629053.84086328105</v>
      </c>
      <c r="R63" s="70">
        <f t="shared" si="226"/>
        <v>629053.84086328105</v>
      </c>
      <c r="S63" s="76">
        <f t="shared" si="236"/>
        <v>937299.26101618633</v>
      </c>
      <c r="T63" s="76">
        <f t="shared" si="236"/>
        <v>937299.26101618633</v>
      </c>
      <c r="U63" s="177"/>
      <c r="V63" s="68">
        <f t="shared" si="237"/>
        <v>208857.92126405888</v>
      </c>
      <c r="W63" s="68">
        <f t="shared" si="238"/>
        <v>208857.92126405888</v>
      </c>
      <c r="X63" s="54">
        <f t="shared" si="194"/>
        <v>20110076.189854201</v>
      </c>
      <c r="Y63" s="54">
        <f t="shared" si="195"/>
        <v>20110076.189854201</v>
      </c>
      <c r="Z63" s="55">
        <f t="shared" si="239"/>
        <v>20410867.894619387</v>
      </c>
      <c r="AA63" s="55">
        <f t="shared" si="240"/>
        <v>20410867.894619387</v>
      </c>
      <c r="AB63" s="53">
        <f>D63*mmater*Parámetros!$G50*$X$5+AB62*(1+i_noc)</f>
        <v>0</v>
      </c>
      <c r="AC63" s="53">
        <f>E63*12*Parámetros!$F50*$X$5+AC62*(1+i_noc)</f>
        <v>0</v>
      </c>
      <c r="AD63" s="53"/>
      <c r="AE63" s="53"/>
      <c r="AF63" s="175"/>
      <c r="AG63" s="74">
        <f t="shared" si="186"/>
        <v>0</v>
      </c>
      <c r="AH63" s="52">
        <f t="shared" si="187"/>
        <v>0</v>
      </c>
      <c r="AI63" s="56">
        <f t="shared" si="227"/>
        <v>0</v>
      </c>
      <c r="AJ63" s="56">
        <f t="shared" si="228"/>
        <v>0</v>
      </c>
      <c r="AK63" s="56"/>
      <c r="AL63" s="56"/>
      <c r="AM63" s="56"/>
      <c r="AN63" s="56"/>
      <c r="AO63" s="56">
        <f t="shared" si="229"/>
        <v>0</v>
      </c>
      <c r="AP63" s="56">
        <f t="shared" si="230"/>
        <v>0</v>
      </c>
      <c r="AQ63" s="53">
        <f t="shared" si="231"/>
        <v>0</v>
      </c>
      <c r="AR63" s="53">
        <f t="shared" si="232"/>
        <v>0</v>
      </c>
      <c r="AS63" s="39"/>
      <c r="AT63" s="68">
        <f t="shared" si="233"/>
        <v>0</v>
      </c>
      <c r="AU63" s="68">
        <f t="shared" si="234"/>
        <v>0</v>
      </c>
      <c r="AV63" s="68">
        <f t="shared" si="235"/>
        <v>0</v>
      </c>
      <c r="AW63" s="68">
        <f t="shared" si="188"/>
        <v>0</v>
      </c>
      <c r="AX63" s="39"/>
      <c r="AY63" s="251">
        <v>0.02</v>
      </c>
    </row>
    <row r="64" spans="1:51" x14ac:dyDescent="0.25">
      <c r="A64" s="30">
        <v>2029</v>
      </c>
      <c r="B64" s="33">
        <f>w_uf*UF*Parámetros!C51</f>
        <v>915110.65211791953</v>
      </c>
      <c r="C64" s="30">
        <f t="shared" si="221"/>
        <v>50</v>
      </c>
      <c r="D64" s="30">
        <f>((A64=Inputs!$C$12)*(Inputs!$D$12) + (A64=Inputs!$C$13)*(Inputs!$D$13) + (A64=Inputs!$C$14)*(Inputs!$D$14)) *(A64 &gt;= a_afil)*(A64&gt;=2024)</f>
        <v>0</v>
      </c>
      <c r="E64" s="30">
        <f>MIN(1,(A64=Inputs!$C$19)*Inputs!$D$19+(A64=Inputs!$C$20)*Inputs!$D$20+(A64=Inputs!$C$21)*Inputs!$D$21*(A64 &gt;= a_afil))</f>
        <v>0</v>
      </c>
      <c r="F64" s="30">
        <f t="shared" si="180"/>
        <v>1</v>
      </c>
      <c r="G64" s="30">
        <f t="shared" si="181"/>
        <v>1</v>
      </c>
      <c r="H64" s="30">
        <v>0.55750101804733276</v>
      </c>
      <c r="I64" s="37">
        <f t="shared" si="222"/>
        <v>0.57999999999999996</v>
      </c>
      <c r="J64" s="37">
        <f t="shared" si="223"/>
        <v>0.57999999999999996</v>
      </c>
      <c r="K64" s="30">
        <f>1*OR(Inputs!$D$17=$A64,Inputs!$E$17=$A64)*($E64=0)*(F64=1)</f>
        <v>0</v>
      </c>
      <c r="L64" s="30">
        <f>1*OR(Inputs!$D$17=$A64,Inputs!$E$17=$A64)*($E64=0)*(G64=1)</f>
        <v>0</v>
      </c>
      <c r="M64" s="181">
        <f t="shared" ref="M64" si="241">MIN($B64,_xlfn.XLOOKUP($A64,agnos,tope_ref_ind)*UF)*12*I64*$N$14</f>
        <v>191075.10416222157</v>
      </c>
      <c r="N64" s="181">
        <f t="shared" ref="N64" si="242">MIN($B64,_xlfn.XLOOKUP($A64,agnos,tope_ref_ind)*UF)*12*J64*$N$14</f>
        <v>191075.10416222157</v>
      </c>
      <c r="O64" s="68">
        <f>Parámetros!$E51*12*I64*$P$14</f>
        <v>254447.97581635084</v>
      </c>
      <c r="P64" s="68">
        <f>Parámetros!$E51*12*J64*$P$14</f>
        <v>254447.97581635084</v>
      </c>
      <c r="Q64" s="70">
        <f t="shared" si="225"/>
        <v>636917.013874072</v>
      </c>
      <c r="R64" s="70">
        <f t="shared" si="226"/>
        <v>636917.013874072</v>
      </c>
      <c r="S64" s="68">
        <f t="shared" ref="S64:S95" si="243">MIN($B64,_xlfn.XLOOKUP($A64,agnos,tope_ref_ind)*UF) * (12*I64*$X$3 +  K64*_xlfn.XLOOKUP(n_mes_laguna,giros_sc,tr_sc_acum)*($X$3+$X$4))</f>
        <v>668762.86456777563</v>
      </c>
      <c r="T64" s="68">
        <f t="shared" ref="T64:T95" si="244">MIN($B64,_xlfn.XLOOKUP($A64,agnos,tope_ref_ind)*UF) * (12*J64*$X$3 +  L64*_xlfn.XLOOKUP(n_mes_laguna,giros_sc,tr_sc_acum)*($X$3+$X$4))</f>
        <v>668762.86456777563</v>
      </c>
      <c r="U64" s="33"/>
      <c r="V64" s="68">
        <f t="shared" si="237"/>
        <v>425727.9104929209</v>
      </c>
      <c r="W64" s="68">
        <f t="shared" si="238"/>
        <v>425727.9104929209</v>
      </c>
      <c r="X64" s="54">
        <f t="shared" si="194"/>
        <v>21426713.778945345</v>
      </c>
      <c r="Y64" s="54">
        <f t="shared" si="195"/>
        <v>21426713.778945345</v>
      </c>
      <c r="Z64" s="55">
        <f t="shared" si="239"/>
        <v>21742509.127331596</v>
      </c>
      <c r="AA64" s="55">
        <f t="shared" si="240"/>
        <v>21742509.127331596</v>
      </c>
      <c r="AB64" s="53">
        <f>D64*mmater*Parámetros!$G51*$X$5+AB63*(1+i_noc)</f>
        <v>0</v>
      </c>
      <c r="AC64" s="53">
        <f>E64*12*Parámetros!$F51*$X$5+AC63*(1+i_noc)</f>
        <v>0</v>
      </c>
      <c r="AD64" s="53"/>
      <c r="AE64" s="53"/>
      <c r="AF64" s="175"/>
      <c r="AG64" s="74">
        <f t="shared" si="186"/>
        <v>0</v>
      </c>
      <c r="AH64" s="52">
        <f t="shared" si="187"/>
        <v>0</v>
      </c>
      <c r="AI64" s="56">
        <f t="shared" si="227"/>
        <v>0</v>
      </c>
      <c r="AJ64" s="56">
        <f t="shared" si="228"/>
        <v>0</v>
      </c>
      <c r="AK64" s="56"/>
      <c r="AL64" s="56"/>
      <c r="AM64" s="56"/>
      <c r="AN64" s="56"/>
      <c r="AO64" s="56">
        <f t="shared" si="229"/>
        <v>0</v>
      </c>
      <c r="AP64" s="56">
        <f t="shared" si="230"/>
        <v>0</v>
      </c>
      <c r="AQ64" s="53">
        <f t="shared" si="231"/>
        <v>0</v>
      </c>
      <c r="AR64" s="53">
        <f t="shared" si="232"/>
        <v>0</v>
      </c>
      <c r="AS64" s="39"/>
      <c r="AT64" s="68">
        <f t="shared" si="233"/>
        <v>0</v>
      </c>
      <c r="AU64" s="68">
        <f t="shared" si="234"/>
        <v>0</v>
      </c>
      <c r="AV64" s="68">
        <f t="shared" si="235"/>
        <v>0</v>
      </c>
      <c r="AW64" s="68">
        <f t="shared" si="188"/>
        <v>0</v>
      </c>
      <c r="AX64" s="39"/>
      <c r="AY64" s="251">
        <v>0.03</v>
      </c>
    </row>
    <row r="65" spans="1:51" x14ac:dyDescent="0.25">
      <c r="A65" s="30">
        <v>2030</v>
      </c>
      <c r="B65" s="33">
        <f>w_uf*UF*Parámetros!C52</f>
        <v>926549.53526939359</v>
      </c>
      <c r="C65" s="30">
        <f t="shared" si="221"/>
        <v>51</v>
      </c>
      <c r="D65" s="30">
        <f>((A65=Inputs!$C$12)*(Inputs!$D$12) + (A65=Inputs!$C$13)*(Inputs!$D$13) + (A65=Inputs!$C$14)*(Inputs!$D$14)) *(A65 &gt;= a_afil)*(A65&gt;=2024)</f>
        <v>0</v>
      </c>
      <c r="E65" s="30">
        <f>MIN(1,(A65=Inputs!$C$19)*Inputs!$D$19+(A65=Inputs!$C$20)*Inputs!$D$20+(A65=Inputs!$C$21)*Inputs!$D$21*(A65 &gt;= a_afil))</f>
        <v>0</v>
      </c>
      <c r="F65" s="30">
        <f t="shared" si="180"/>
        <v>1</v>
      </c>
      <c r="G65" s="30">
        <f t="shared" si="181"/>
        <v>1</v>
      </c>
      <c r="H65" s="30">
        <v>0.90920412540435791</v>
      </c>
      <c r="I65" s="37">
        <f t="shared" si="222"/>
        <v>0.57999999999999996</v>
      </c>
      <c r="J65" s="37">
        <f t="shared" si="223"/>
        <v>0.57999999999999996</v>
      </c>
      <c r="K65" s="30">
        <f>1*OR(Inputs!$D$17=$A65,Inputs!$E$17=$A65)*($E65=0)*(F65=1)</f>
        <v>0</v>
      </c>
      <c r="L65" s="30">
        <f>1*OR(Inputs!$D$17=$A65,Inputs!$E$17=$A65)*($E65=0)*(G65=1)</f>
        <v>0</v>
      </c>
      <c r="M65" s="73">
        <f t="shared" ref="M65:M128" si="245">MIN($B65,_xlfn.XLOOKUP($A65,agnos,tope_ref_ind)*UF)*12*I65*$N$14</f>
        <v>193463.54296424935</v>
      </c>
      <c r="N65" s="73">
        <f t="shared" ref="N65:N128" si="246">MIN($B65,_xlfn.XLOOKUP($A65,agnos,tope_ref_ind)*UF)*12*J65*$N$14</f>
        <v>193463.54296424935</v>
      </c>
      <c r="O65" s="55">
        <f>Parámetros!$E52*12*I65*$P$14</f>
        <v>257628.57551405521</v>
      </c>
      <c r="P65" s="55">
        <f>Parámetros!$E52*12*J65*$P$14</f>
        <v>257628.57551405521</v>
      </c>
      <c r="Q65" s="70">
        <f t="shared" si="225"/>
        <v>644878.47654749791</v>
      </c>
      <c r="R65" s="70">
        <f t="shared" si="226"/>
        <v>644878.47654749791</v>
      </c>
      <c r="S65" s="68">
        <f t="shared" si="243"/>
        <v>677122.40037487284</v>
      </c>
      <c r="T65" s="68">
        <f t="shared" si="244"/>
        <v>677122.40037487284</v>
      </c>
      <c r="U65" s="33"/>
      <c r="V65" s="68">
        <f t="shared" si="237"/>
        <v>652267.21617902233</v>
      </c>
      <c r="W65" s="68">
        <f t="shared" si="238"/>
        <v>652267.21617902233</v>
      </c>
      <c r="X65" s="54">
        <f t="shared" si="194"/>
        <v>22795815.181221198</v>
      </c>
      <c r="Y65" s="54">
        <f t="shared" si="195"/>
        <v>22795815.181221198</v>
      </c>
      <c r="Z65" s="55">
        <f t="shared" si="239"/>
        <v>23125757.256612413</v>
      </c>
      <c r="AA65" s="55">
        <f t="shared" si="240"/>
        <v>23125757.256612413</v>
      </c>
      <c r="AB65" s="53">
        <f>D65*mmater*Parámetros!$G52*$X$5+AB64*(1+i_noc)</f>
        <v>0</v>
      </c>
      <c r="AC65" s="53">
        <f>E65*12*Parámetros!$F52*$X$5+AC64*(1+i_noc)</f>
        <v>0</v>
      </c>
      <c r="AD65" s="53"/>
      <c r="AE65" s="53"/>
      <c r="AF65" s="175"/>
      <c r="AG65" s="74">
        <f t="shared" si="186"/>
        <v>0</v>
      </c>
      <c r="AH65" s="52">
        <f t="shared" si="187"/>
        <v>0</v>
      </c>
      <c r="AI65" s="56">
        <f t="shared" si="227"/>
        <v>0</v>
      </c>
      <c r="AJ65" s="56">
        <f t="shared" si="228"/>
        <v>0</v>
      </c>
      <c r="AK65" s="56"/>
      <c r="AL65" s="56"/>
      <c r="AM65" s="56"/>
      <c r="AN65" s="56"/>
      <c r="AO65" s="56">
        <f t="shared" si="229"/>
        <v>0</v>
      </c>
      <c r="AP65" s="56">
        <f t="shared" si="230"/>
        <v>0</v>
      </c>
      <c r="AQ65" s="53">
        <f t="shared" si="231"/>
        <v>0</v>
      </c>
      <c r="AR65" s="53">
        <f t="shared" si="232"/>
        <v>0</v>
      </c>
      <c r="AS65" s="39"/>
      <c r="AT65" s="68">
        <f t="shared" si="233"/>
        <v>0</v>
      </c>
      <c r="AU65" s="68">
        <f t="shared" si="234"/>
        <v>0</v>
      </c>
      <c r="AV65" s="68">
        <f t="shared" si="235"/>
        <v>0</v>
      </c>
      <c r="AW65" s="68">
        <f t="shared" si="188"/>
        <v>0</v>
      </c>
      <c r="AX65" s="39"/>
      <c r="AY65" s="39"/>
    </row>
    <row r="66" spans="1:51" x14ac:dyDescent="0.25">
      <c r="A66" s="30">
        <v>2031</v>
      </c>
      <c r="B66" s="33">
        <f>w_uf*UF*Parámetros!C53</f>
        <v>938131.40446026088</v>
      </c>
      <c r="C66" s="30">
        <f t="shared" si="221"/>
        <v>52</v>
      </c>
      <c r="D66" s="30">
        <f>((A66=Inputs!$C$12)*(Inputs!$D$12) + (A66=Inputs!$C$13)*(Inputs!$D$13) + (A66=Inputs!$C$14)*(Inputs!$D$14)) *(A66 &gt;= a_afil)*(A66&gt;=2024)</f>
        <v>0</v>
      </c>
      <c r="E66" s="30">
        <f>MIN(1,(A66=Inputs!$C$19)*Inputs!$D$19+(A66=Inputs!$C$20)*Inputs!$D$20+(A66=Inputs!$C$21)*Inputs!$D$21*(A66 &gt;= a_afil))</f>
        <v>0</v>
      </c>
      <c r="F66" s="30">
        <f t="shared" si="180"/>
        <v>1</v>
      </c>
      <c r="G66" s="30">
        <f t="shared" si="181"/>
        <v>1</v>
      </c>
      <c r="H66" s="30">
        <v>0.65725642442703247</v>
      </c>
      <c r="I66" s="37">
        <f t="shared" si="222"/>
        <v>0.57999999999999996</v>
      </c>
      <c r="J66" s="37">
        <f t="shared" si="223"/>
        <v>0.57999999999999996</v>
      </c>
      <c r="K66" s="30">
        <f>1*OR(Inputs!$D$17=$A66,Inputs!$E$17=$A66)*($E66=0)*(F66=1)</f>
        <v>0</v>
      </c>
      <c r="L66" s="30">
        <f>1*OR(Inputs!$D$17=$A66,Inputs!$E$17=$A66)*($E66=0)*(G66=1)</f>
        <v>0</v>
      </c>
      <c r="M66" s="73">
        <f t="shared" si="245"/>
        <v>195881.83725130247</v>
      </c>
      <c r="N66" s="73">
        <f t="shared" si="246"/>
        <v>195881.83725130247</v>
      </c>
      <c r="O66" s="55">
        <f>Parámetros!$E53*12*I66*$P$14</f>
        <v>260848.93270798086</v>
      </c>
      <c r="P66" s="55">
        <f>Parámetros!$E53*12*J66*$P$14</f>
        <v>260848.93270798086</v>
      </c>
      <c r="Q66" s="70">
        <f t="shared" si="225"/>
        <v>652939.45750434161</v>
      </c>
      <c r="R66" s="70">
        <f t="shared" si="226"/>
        <v>652939.45750434161</v>
      </c>
      <c r="S66" s="68">
        <f t="shared" si="243"/>
        <v>685586.4303795587</v>
      </c>
      <c r="T66" s="68">
        <f t="shared" si="244"/>
        <v>685586.4303795587</v>
      </c>
      <c r="U66" s="33"/>
      <c r="V66" s="68">
        <f t="shared" si="237"/>
        <v>888822.69224862941</v>
      </c>
      <c r="W66" s="68">
        <f t="shared" si="238"/>
        <v>888822.69224862941</v>
      </c>
      <c r="X66" s="54">
        <f t="shared" si="194"/>
        <v>24219253.191850819</v>
      </c>
      <c r="Y66" s="54">
        <f t="shared" si="195"/>
        <v>24219253.191850819</v>
      </c>
      <c r="Z66" s="55">
        <f t="shared" si="239"/>
        <v>24562392.800215062</v>
      </c>
      <c r="AA66" s="55">
        <f t="shared" si="240"/>
        <v>24562392.800215062</v>
      </c>
      <c r="AB66" s="53">
        <f>D66*mmater*Parámetros!$G53*$X$5+AB65*(1+i_noc)</f>
        <v>0</v>
      </c>
      <c r="AC66" s="53">
        <f>E66*12*Parámetros!$F53*$X$5+AC65*(1+i_noc)</f>
        <v>0</v>
      </c>
      <c r="AD66" s="53"/>
      <c r="AE66" s="53"/>
      <c r="AF66" s="175"/>
      <c r="AG66" s="74">
        <f t="shared" si="186"/>
        <v>0</v>
      </c>
      <c r="AH66" s="52">
        <f t="shared" si="187"/>
        <v>0</v>
      </c>
      <c r="AI66" s="56">
        <f t="shared" si="227"/>
        <v>0</v>
      </c>
      <c r="AJ66" s="56">
        <f t="shared" si="228"/>
        <v>0</v>
      </c>
      <c r="AK66" s="56"/>
      <c r="AL66" s="56"/>
      <c r="AM66" s="56"/>
      <c r="AN66" s="56"/>
      <c r="AO66" s="56">
        <f t="shared" si="229"/>
        <v>0</v>
      </c>
      <c r="AP66" s="56">
        <f t="shared" si="230"/>
        <v>0</v>
      </c>
      <c r="AQ66" s="53">
        <f t="shared" si="231"/>
        <v>0</v>
      </c>
      <c r="AR66" s="53">
        <f t="shared" si="232"/>
        <v>0</v>
      </c>
      <c r="AS66" s="39"/>
      <c r="AT66" s="68">
        <f t="shared" si="233"/>
        <v>0</v>
      </c>
      <c r="AU66" s="68">
        <f t="shared" si="234"/>
        <v>0</v>
      </c>
      <c r="AV66" s="68">
        <f t="shared" si="235"/>
        <v>0</v>
      </c>
      <c r="AW66" s="68">
        <f t="shared" si="188"/>
        <v>0</v>
      </c>
      <c r="AX66" s="39"/>
      <c r="AY66" s="39"/>
    </row>
    <row r="67" spans="1:51" x14ac:dyDescent="0.25">
      <c r="A67" s="30">
        <v>2032</v>
      </c>
      <c r="B67" s="33">
        <f>w_uf*UF*Parámetros!C54</f>
        <v>949858.04701601411</v>
      </c>
      <c r="C67" s="30">
        <f t="shared" si="221"/>
        <v>53</v>
      </c>
      <c r="D67" s="30">
        <f>((A67=Inputs!$C$12)*(Inputs!$D$12) + (A67=Inputs!$C$13)*(Inputs!$D$13) + (A67=Inputs!$C$14)*(Inputs!$D$14)) *(A67 &gt;= a_afil)*(A67&gt;=2024)</f>
        <v>0</v>
      </c>
      <c r="E67" s="30">
        <f>MIN(1,(A67=Inputs!$C$19)*Inputs!$D$19+(A67=Inputs!$C$20)*Inputs!$D$20+(A67=Inputs!$C$21)*Inputs!$D$21*(A67 &gt;= a_afil))</f>
        <v>0</v>
      </c>
      <c r="F67" s="30">
        <f t="shared" si="180"/>
        <v>1</v>
      </c>
      <c r="G67" s="30">
        <f t="shared" si="181"/>
        <v>1</v>
      </c>
      <c r="H67" s="30">
        <v>0.44111466407775879</v>
      </c>
      <c r="I67" s="37">
        <f t="shared" si="222"/>
        <v>0.57999999999999996</v>
      </c>
      <c r="J67" s="37">
        <f t="shared" si="223"/>
        <v>0.57999999999999996</v>
      </c>
      <c r="K67" s="30">
        <f>1*OR(Inputs!$D$17=$A67,Inputs!$E$17=$A67)*($E67=0)*(F67=1)</f>
        <v>0</v>
      </c>
      <c r="L67" s="30">
        <f>1*OR(Inputs!$D$17=$A67,Inputs!$E$17=$A67)*($E67=0)*(G67=1)</f>
        <v>0</v>
      </c>
      <c r="M67" s="73">
        <f t="shared" si="245"/>
        <v>198330.36021694372</v>
      </c>
      <c r="N67" s="73">
        <f t="shared" si="246"/>
        <v>198330.36021694372</v>
      </c>
      <c r="O67" s="55">
        <f>Parámetros!$E54*12*I67*$P$14</f>
        <v>264109.54436683061</v>
      </c>
      <c r="P67" s="55">
        <f>Parámetros!$E54*12*J67*$P$14</f>
        <v>264109.54436683061</v>
      </c>
      <c r="Q67" s="70">
        <f t="shared" si="225"/>
        <v>661101.20072314574</v>
      </c>
      <c r="R67" s="70">
        <f t="shared" si="226"/>
        <v>661101.20072314574</v>
      </c>
      <c r="S67" s="68">
        <f t="shared" si="243"/>
        <v>694156.26075930311</v>
      </c>
      <c r="T67" s="68">
        <f t="shared" si="244"/>
        <v>694156.26075930311</v>
      </c>
      <c r="U67" s="33"/>
      <c r="V67" s="68">
        <f t="shared" si="237"/>
        <v>1135752.8676375072</v>
      </c>
      <c r="W67" s="68">
        <f t="shared" si="238"/>
        <v>1135752.8676375072</v>
      </c>
      <c r="X67" s="54">
        <f t="shared" si="194"/>
        <v>25698965.150458522</v>
      </c>
      <c r="Y67" s="54">
        <f t="shared" si="195"/>
        <v>25698965.150458522</v>
      </c>
      <c r="Z67" s="55">
        <f t="shared" si="239"/>
        <v>26054255.407475252</v>
      </c>
      <c r="AA67" s="55">
        <f t="shared" si="240"/>
        <v>26054255.407475252</v>
      </c>
      <c r="AB67" s="53">
        <f>D67*mmater*Parámetros!$G54*$X$5+AB66*(1+i_noc)</f>
        <v>0</v>
      </c>
      <c r="AC67" s="53">
        <f>E67*12*Parámetros!$F54*$X$5+AC66*(1+i_noc)</f>
        <v>0</v>
      </c>
      <c r="AD67" s="53"/>
      <c r="AE67" s="53"/>
      <c r="AF67" s="175"/>
      <c r="AG67" s="74">
        <f t="shared" si="186"/>
        <v>0</v>
      </c>
      <c r="AH67" s="52">
        <f t="shared" si="187"/>
        <v>0</v>
      </c>
      <c r="AI67" s="56">
        <f t="shared" si="227"/>
        <v>0</v>
      </c>
      <c r="AJ67" s="56">
        <f t="shared" si="228"/>
        <v>0</v>
      </c>
      <c r="AK67" s="56"/>
      <c r="AL67" s="56"/>
      <c r="AM67" s="56"/>
      <c r="AN67" s="56"/>
      <c r="AO67" s="56">
        <f t="shared" si="229"/>
        <v>0</v>
      </c>
      <c r="AP67" s="56">
        <f t="shared" si="230"/>
        <v>0</v>
      </c>
      <c r="AQ67" s="53">
        <f t="shared" si="231"/>
        <v>0</v>
      </c>
      <c r="AR67" s="53">
        <f t="shared" si="232"/>
        <v>0</v>
      </c>
      <c r="AS67" s="39"/>
      <c r="AT67" s="68">
        <f t="shared" si="233"/>
        <v>0</v>
      </c>
      <c r="AU67" s="68">
        <f t="shared" si="234"/>
        <v>0</v>
      </c>
      <c r="AV67" s="68">
        <f t="shared" si="235"/>
        <v>0</v>
      </c>
      <c r="AW67" s="68">
        <f t="shared" si="188"/>
        <v>0</v>
      </c>
      <c r="AX67" s="39"/>
      <c r="AY67" s="39"/>
    </row>
    <row r="68" spans="1:51" x14ac:dyDescent="0.25">
      <c r="A68" s="30">
        <v>2033</v>
      </c>
      <c r="B68" s="33">
        <f>w_uf*UF*Parámetros!C55</f>
        <v>961731.27260371426</v>
      </c>
      <c r="C68" s="30">
        <f t="shared" si="221"/>
        <v>54</v>
      </c>
      <c r="D68" s="30">
        <f>((A68=Inputs!$C$12)*(Inputs!$D$12) + (A68=Inputs!$C$13)*(Inputs!$D$13) + (A68=Inputs!$C$14)*(Inputs!$D$14)) *(A68 &gt;= a_afil)*(A68&gt;=2024)</f>
        <v>0</v>
      </c>
      <c r="E68" s="30">
        <f>MIN(1,(A68=Inputs!$C$19)*Inputs!$D$19+(A68=Inputs!$C$20)*Inputs!$D$20+(A68=Inputs!$C$21)*Inputs!$D$21*(A68 &gt;= a_afil))</f>
        <v>1</v>
      </c>
      <c r="F68" s="30">
        <f t="shared" si="180"/>
        <v>1</v>
      </c>
      <c r="G68" s="30">
        <f t="shared" si="181"/>
        <v>1</v>
      </c>
      <c r="H68" s="30">
        <v>0.69299453496932983</v>
      </c>
      <c r="I68" s="37">
        <f t="shared" si="222"/>
        <v>0.57999999999999996</v>
      </c>
      <c r="J68" s="37">
        <f t="shared" si="223"/>
        <v>0.57999999999999996</v>
      </c>
      <c r="K68" s="30">
        <f>1*OR(Inputs!$D$17=$A68,Inputs!$E$17=$A68)*($E68=0)*(F68=1)</f>
        <v>0</v>
      </c>
      <c r="L68" s="30">
        <f>1*OR(Inputs!$D$17=$A68,Inputs!$E$17=$A68)*($E68=0)*(G68=1)</f>
        <v>0</v>
      </c>
      <c r="M68" s="73">
        <f t="shared" si="245"/>
        <v>200809.48971965551</v>
      </c>
      <c r="N68" s="73">
        <f t="shared" si="246"/>
        <v>200809.48971965551</v>
      </c>
      <c r="O68" s="55">
        <f>Parámetros!$E55*12*I68*$P$14</f>
        <v>267410.913671416</v>
      </c>
      <c r="P68" s="55">
        <f>Parámetros!$E55*12*J68*$P$14</f>
        <v>267410.913671416</v>
      </c>
      <c r="Q68" s="70">
        <f t="shared" si="225"/>
        <v>669364.96573218517</v>
      </c>
      <c r="R68" s="70">
        <f t="shared" si="226"/>
        <v>669364.96573218517</v>
      </c>
      <c r="S68" s="68">
        <f t="shared" si="243"/>
        <v>702833.21401879436</v>
      </c>
      <c r="T68" s="68">
        <f t="shared" si="244"/>
        <v>702833.21401879436</v>
      </c>
      <c r="U68" s="33"/>
      <c r="V68" s="68">
        <f t="shared" si="237"/>
        <v>1393428.3305861973</v>
      </c>
      <c r="W68" s="68">
        <f t="shared" si="238"/>
        <v>1393428.3305861973</v>
      </c>
      <c r="X68" s="54">
        <f t="shared" si="194"/>
        <v>27236955.138276204</v>
      </c>
      <c r="Y68" s="54">
        <f t="shared" si="195"/>
        <v>27236955.138276204</v>
      </c>
      <c r="Z68" s="55">
        <f t="shared" si="239"/>
        <v>27603245.796039198</v>
      </c>
      <c r="AA68" s="55">
        <f t="shared" si="240"/>
        <v>27603245.796039198</v>
      </c>
      <c r="AB68" s="53">
        <f>D68*mmater*Parámetros!$G55*$X$5+AB67*(1+i_noc)</f>
        <v>0</v>
      </c>
      <c r="AC68" s="53">
        <f>E68*12*Parámetros!$F55*$X$5+AC67*(1+i_noc)</f>
        <v>346098.64292598172</v>
      </c>
      <c r="AD68" s="53"/>
      <c r="AE68" s="53"/>
      <c r="AF68" s="175"/>
      <c r="AG68" s="74">
        <f t="shared" si="186"/>
        <v>0</v>
      </c>
      <c r="AH68" s="52">
        <f t="shared" si="187"/>
        <v>0</v>
      </c>
      <c r="AI68" s="56">
        <f t="shared" si="227"/>
        <v>0</v>
      </c>
      <c r="AJ68" s="56">
        <f t="shared" si="228"/>
        <v>0</v>
      </c>
      <c r="AK68" s="56"/>
      <c r="AL68" s="56"/>
      <c r="AM68" s="56"/>
      <c r="AN68" s="56"/>
      <c r="AO68" s="56">
        <f t="shared" si="229"/>
        <v>0</v>
      </c>
      <c r="AP68" s="56">
        <f t="shared" si="230"/>
        <v>0</v>
      </c>
      <c r="AQ68" s="53">
        <f t="shared" si="231"/>
        <v>0</v>
      </c>
      <c r="AR68" s="53">
        <f t="shared" si="232"/>
        <v>0</v>
      </c>
      <c r="AS68" s="39"/>
      <c r="AT68" s="68">
        <f t="shared" si="233"/>
        <v>0</v>
      </c>
      <c r="AU68" s="68">
        <f t="shared" si="234"/>
        <v>0</v>
      </c>
      <c r="AV68" s="68">
        <f t="shared" si="235"/>
        <v>0</v>
      </c>
      <c r="AW68" s="68">
        <f t="shared" si="188"/>
        <v>0</v>
      </c>
      <c r="AX68" s="39"/>
      <c r="AY68" s="39"/>
    </row>
    <row r="69" spans="1:51" x14ac:dyDescent="0.25">
      <c r="A69" s="30">
        <v>2034</v>
      </c>
      <c r="B69" s="33">
        <f>w_uf*UF*Parámetros!C56</f>
        <v>973752.91351126065</v>
      </c>
      <c r="C69" s="30">
        <f t="shared" si="221"/>
        <v>55</v>
      </c>
      <c r="D69" s="30">
        <f>((A69=Inputs!$C$12)*(Inputs!$D$12) + (A69=Inputs!$C$13)*(Inputs!$D$13) + (A69=Inputs!$C$14)*(Inputs!$D$14)) *(A69 &gt;= a_afil)*(A69&gt;=2024)</f>
        <v>0</v>
      </c>
      <c r="E69" s="30">
        <f>MIN(1,(A69=Inputs!$C$19)*Inputs!$D$19+(A69=Inputs!$C$20)*Inputs!$D$20+(A69=Inputs!$C$21)*Inputs!$D$21*(A69 &gt;= a_afil))</f>
        <v>1</v>
      </c>
      <c r="F69" s="30">
        <f t="shared" si="180"/>
        <v>1</v>
      </c>
      <c r="G69" s="30">
        <f t="shared" si="181"/>
        <v>1</v>
      </c>
      <c r="H69" s="30">
        <v>6.4491152763366699E-2</v>
      </c>
      <c r="I69" s="37">
        <f t="shared" si="222"/>
        <v>0.57999999999999996</v>
      </c>
      <c r="J69" s="37">
        <f t="shared" si="223"/>
        <v>0.57999999999999996</v>
      </c>
      <c r="K69" s="30">
        <f>1*OR(Inputs!$D$17=$A69,Inputs!$E$17=$A69)*($E69=0)*(F69=1)</f>
        <v>0</v>
      </c>
      <c r="L69" s="30">
        <f>1*OR(Inputs!$D$17=$A69,Inputs!$E$17=$A69)*($E69=0)*(G69=1)</f>
        <v>0</v>
      </c>
      <c r="M69" s="73">
        <f t="shared" si="245"/>
        <v>203319.60834115121</v>
      </c>
      <c r="N69" s="73">
        <f t="shared" si="246"/>
        <v>203319.60834115121</v>
      </c>
      <c r="O69" s="55">
        <f>Parámetros!$E56*12*I69*$P$14</f>
        <v>270753.55009230867</v>
      </c>
      <c r="P69" s="55">
        <f>Parámetros!$E56*12*J69*$P$14</f>
        <v>270753.55009230867</v>
      </c>
      <c r="Q69" s="70">
        <f t="shared" si="225"/>
        <v>677732.02780383744</v>
      </c>
      <c r="R69" s="70">
        <f t="shared" si="226"/>
        <v>677732.02780383744</v>
      </c>
      <c r="S69" s="68">
        <f t="shared" si="243"/>
        <v>711618.62919402926</v>
      </c>
      <c r="T69" s="68">
        <f t="shared" si="244"/>
        <v>711618.62919402926</v>
      </c>
      <c r="U69" s="33"/>
      <c r="V69" s="68">
        <f t="shared" si="237"/>
        <v>1662232.1254800644</v>
      </c>
      <c r="W69" s="68">
        <f t="shared" si="238"/>
        <v>1662232.1254800644</v>
      </c>
      <c r="X69" s="54">
        <f t="shared" si="194"/>
        <v>28835296.249753781</v>
      </c>
      <c r="Y69" s="54">
        <f t="shared" si="195"/>
        <v>28835296.249753781</v>
      </c>
      <c r="Z69" s="55">
        <f t="shared" si="239"/>
        <v>29211327.751694303</v>
      </c>
      <c r="AA69" s="55">
        <f t="shared" si="240"/>
        <v>29211327.751694303</v>
      </c>
      <c r="AB69" s="53">
        <f>D69*mmater*Parámetros!$G56*$X$5+AB68*(1+i_noc)</f>
        <v>0</v>
      </c>
      <c r="AC69" s="53">
        <f>E69*12*Parámetros!$F56*$X$5+AC68*(1+i_noc)</f>
        <v>703445.49174705776</v>
      </c>
      <c r="AD69" s="53"/>
      <c r="AE69" s="53"/>
      <c r="AF69" s="175"/>
      <c r="AG69" s="74">
        <f t="shared" si="186"/>
        <v>0</v>
      </c>
      <c r="AH69" s="52">
        <f t="shared" si="187"/>
        <v>0</v>
      </c>
      <c r="AI69" s="56">
        <f t="shared" si="227"/>
        <v>0</v>
      </c>
      <c r="AJ69" s="56">
        <f t="shared" si="228"/>
        <v>0</v>
      </c>
      <c r="AK69" s="56"/>
      <c r="AL69" s="56"/>
      <c r="AM69" s="56"/>
      <c r="AN69" s="56"/>
      <c r="AO69" s="56">
        <f t="shared" si="229"/>
        <v>0</v>
      </c>
      <c r="AP69" s="56">
        <f t="shared" si="230"/>
        <v>0</v>
      </c>
      <c r="AQ69" s="53">
        <f t="shared" si="231"/>
        <v>0</v>
      </c>
      <c r="AR69" s="53">
        <f t="shared" si="232"/>
        <v>0</v>
      </c>
      <c r="AS69" s="39"/>
      <c r="AT69" s="68">
        <f t="shared" si="233"/>
        <v>0</v>
      </c>
      <c r="AU69" s="68">
        <f t="shared" si="234"/>
        <v>0</v>
      </c>
      <c r="AV69" s="68">
        <f t="shared" si="235"/>
        <v>0</v>
      </c>
      <c r="AW69" s="68">
        <f t="shared" si="188"/>
        <v>0</v>
      </c>
      <c r="AX69" s="39"/>
      <c r="AY69" s="39"/>
    </row>
    <row r="70" spans="1:51" x14ac:dyDescent="0.25">
      <c r="A70" s="30">
        <v>2035</v>
      </c>
      <c r="B70" s="33">
        <f>w_uf*UF*Parámetros!C57</f>
        <v>985924.82493015134</v>
      </c>
      <c r="C70" s="30">
        <f t="shared" si="221"/>
        <v>56</v>
      </c>
      <c r="D70" s="30">
        <f>((A70=Inputs!$C$12)*(Inputs!$D$12) + (A70=Inputs!$C$13)*(Inputs!$D$13) + (A70=Inputs!$C$14)*(Inputs!$D$14)) *(A70 &gt;= a_afil)*(A70&gt;=2024)</f>
        <v>0</v>
      </c>
      <c r="E70" s="30">
        <f>MIN(1,(A70=Inputs!$C$19)*Inputs!$D$19+(A70=Inputs!$C$20)*Inputs!$D$20+(A70=Inputs!$C$21)*Inputs!$D$21*(A70 &gt;= a_afil))</f>
        <v>0</v>
      </c>
      <c r="F70" s="30">
        <f t="shared" si="180"/>
        <v>1</v>
      </c>
      <c r="G70" s="30">
        <f t="shared" si="181"/>
        <v>1</v>
      </c>
      <c r="H70" s="30">
        <v>0.7560926079750061</v>
      </c>
      <c r="I70" s="37">
        <f t="shared" si="222"/>
        <v>0.57999999999999996</v>
      </c>
      <c r="J70" s="37">
        <f t="shared" si="223"/>
        <v>0.57999999999999996</v>
      </c>
      <c r="K70" s="30">
        <f>1*OR(Inputs!$D$17=$A70,Inputs!$E$17=$A70)*($E70=0)*(F70=1)</f>
        <v>0</v>
      </c>
      <c r="L70" s="30">
        <f>1*OR(Inputs!$D$17=$A70,Inputs!$E$17=$A70)*($E70=0)*(G70=1)</f>
        <v>0</v>
      </c>
      <c r="M70" s="73">
        <f t="shared" si="245"/>
        <v>205861.10344541559</v>
      </c>
      <c r="N70" s="73">
        <f t="shared" si="246"/>
        <v>205861.10344541559</v>
      </c>
      <c r="O70" s="55">
        <f>Parámetros!$E57*12*I70*$P$14</f>
        <v>274137.96946846251</v>
      </c>
      <c r="P70" s="55">
        <f>Parámetros!$E57*12*J70*$P$14</f>
        <v>274137.96946846251</v>
      </c>
      <c r="Q70" s="70">
        <f t="shared" si="225"/>
        <v>686203.67815138539</v>
      </c>
      <c r="R70" s="70">
        <f t="shared" si="226"/>
        <v>686203.67815138539</v>
      </c>
      <c r="S70" s="68">
        <f t="shared" si="243"/>
        <v>720513.86205895466</v>
      </c>
      <c r="T70" s="68">
        <f t="shared" si="244"/>
        <v>720513.86205895466</v>
      </c>
      <c r="U70" s="33"/>
      <c r="V70" s="68">
        <f t="shared" si="237"/>
        <v>1942560.1626423292</v>
      </c>
      <c r="W70" s="68">
        <f t="shared" si="238"/>
        <v>1942560.1626423292</v>
      </c>
      <c r="X70" s="54">
        <f t="shared" si="194"/>
        <v>30496132.941146843</v>
      </c>
      <c r="Y70" s="54">
        <f t="shared" si="195"/>
        <v>30496132.941146843</v>
      </c>
      <c r="Z70" s="55">
        <f t="shared" si="239"/>
        <v>30880530.193354513</v>
      </c>
      <c r="AA70" s="55">
        <f t="shared" si="240"/>
        <v>30880530.193354513</v>
      </c>
      <c r="AB70" s="53">
        <f>D70*mmater*Parámetros!$G57*$X$5+AB69*(1+i_noc)</f>
        <v>0</v>
      </c>
      <c r="AC70" s="53">
        <f>E70*12*Parámetros!$F57*$X$5+AC69*(1+i_noc)</f>
        <v>717514.40158199891</v>
      </c>
      <c r="AD70" s="53"/>
      <c r="AE70" s="53"/>
      <c r="AF70" s="175"/>
      <c r="AG70" s="74">
        <f t="shared" si="186"/>
        <v>0</v>
      </c>
      <c r="AH70" s="52">
        <f t="shared" si="187"/>
        <v>0</v>
      </c>
      <c r="AI70" s="56">
        <f t="shared" si="227"/>
        <v>0</v>
      </c>
      <c r="AJ70" s="56">
        <f t="shared" si="228"/>
        <v>0</v>
      </c>
      <c r="AK70" s="56"/>
      <c r="AL70" s="56"/>
      <c r="AM70" s="56"/>
      <c r="AN70" s="56"/>
      <c r="AO70" s="56">
        <f t="shared" si="229"/>
        <v>0</v>
      </c>
      <c r="AP70" s="56">
        <f t="shared" si="230"/>
        <v>0</v>
      </c>
      <c r="AQ70" s="53">
        <f t="shared" si="231"/>
        <v>0</v>
      </c>
      <c r="AR70" s="53">
        <f t="shared" si="232"/>
        <v>0</v>
      </c>
      <c r="AS70" s="39"/>
      <c r="AT70" s="68">
        <f t="shared" si="233"/>
        <v>0</v>
      </c>
      <c r="AU70" s="68">
        <f t="shared" si="234"/>
        <v>0</v>
      </c>
      <c r="AV70" s="68">
        <f t="shared" si="235"/>
        <v>0</v>
      </c>
      <c r="AW70" s="68">
        <f t="shared" si="188"/>
        <v>0</v>
      </c>
      <c r="AX70" s="39"/>
      <c r="AY70" s="39"/>
    </row>
    <row r="71" spans="1:51" x14ac:dyDescent="0.25">
      <c r="A71" s="30">
        <v>2036</v>
      </c>
      <c r="B71" s="33">
        <f>w_uf*UF*Parámetros!C58</f>
        <v>998248.88524177822</v>
      </c>
      <c r="C71" s="30">
        <f t="shared" si="221"/>
        <v>57</v>
      </c>
      <c r="D71" s="30">
        <f>((A71=Inputs!$C$12)*(Inputs!$D$12) + (A71=Inputs!$C$13)*(Inputs!$D$13) + (A71=Inputs!$C$14)*(Inputs!$D$14)) *(A71 &gt;= a_afil)*(A71&gt;=2024)</f>
        <v>0</v>
      </c>
      <c r="E71" s="30">
        <f>MIN(1,(A71=Inputs!$C$19)*Inputs!$D$19+(A71=Inputs!$C$20)*Inputs!$D$20+(A71=Inputs!$C$21)*Inputs!$D$21*(A71 &gt;= a_afil))</f>
        <v>0</v>
      </c>
      <c r="F71" s="30">
        <f t="shared" si="180"/>
        <v>1</v>
      </c>
      <c r="G71" s="30">
        <f t="shared" si="181"/>
        <v>1</v>
      </c>
      <c r="H71" s="30">
        <v>0.70051431655883789</v>
      </c>
      <c r="I71" s="37">
        <f t="shared" si="222"/>
        <v>0.57999999999999996</v>
      </c>
      <c r="J71" s="37">
        <f t="shared" si="223"/>
        <v>0.57999999999999996</v>
      </c>
      <c r="K71" s="30">
        <f>1*OR(Inputs!$D$17=$A71,Inputs!$E$17=$A71)*($E71=0)*(F71=1)</f>
        <v>0</v>
      </c>
      <c r="L71" s="30">
        <f>1*OR(Inputs!$D$17=$A71,Inputs!$E$17=$A71)*($E71=0)*(G71=1)</f>
        <v>0</v>
      </c>
      <c r="M71" s="73">
        <f t="shared" si="245"/>
        <v>208434.36723848328</v>
      </c>
      <c r="N71" s="73">
        <f t="shared" si="246"/>
        <v>208434.36723848328</v>
      </c>
      <c r="O71" s="55">
        <f>Parámetros!$E58*12*I71*$P$14</f>
        <v>277564.69408681837</v>
      </c>
      <c r="P71" s="55">
        <f>Parámetros!$E58*12*J71*$P$14</f>
        <v>277564.69408681837</v>
      </c>
      <c r="Q71" s="70">
        <f t="shared" si="225"/>
        <v>694781.22412827762</v>
      </c>
      <c r="R71" s="70">
        <f t="shared" si="226"/>
        <v>694781.22412827762</v>
      </c>
      <c r="S71" s="68">
        <f t="shared" si="243"/>
        <v>729520.28533469152</v>
      </c>
      <c r="T71" s="68">
        <f t="shared" si="244"/>
        <v>729520.28533469152</v>
      </c>
      <c r="U71" s="33"/>
      <c r="V71" s="68">
        <f t="shared" si="237"/>
        <v>2234821.6415015655</v>
      </c>
      <c r="W71" s="68">
        <f t="shared" si="238"/>
        <v>2234821.6415015655</v>
      </c>
      <c r="X71" s="54">
        <f t="shared" si="194"/>
        <v>32221683.458685882</v>
      </c>
      <c r="Y71" s="54">
        <f t="shared" si="195"/>
        <v>32221683.458685882</v>
      </c>
      <c r="Z71" s="55">
        <f t="shared" si="239"/>
        <v>32612949.305318814</v>
      </c>
      <c r="AA71" s="55">
        <f t="shared" si="240"/>
        <v>32612949.305318814</v>
      </c>
      <c r="AB71" s="53">
        <f>D71*mmater*Parámetros!$G58*$X$5+AB70*(1+i_noc)</f>
        <v>0</v>
      </c>
      <c r="AC71" s="53">
        <f>E71*12*Parámetros!$F58*$X$5+AC70*(1+i_noc)</f>
        <v>731864.68961363891</v>
      </c>
      <c r="AD71" s="53"/>
      <c r="AE71" s="53"/>
      <c r="AF71" s="175"/>
      <c r="AG71" s="74">
        <f t="shared" si="186"/>
        <v>0</v>
      </c>
      <c r="AH71" s="52">
        <f t="shared" si="187"/>
        <v>0</v>
      </c>
      <c r="AI71" s="56">
        <f t="shared" si="227"/>
        <v>0</v>
      </c>
      <c r="AJ71" s="56">
        <f t="shared" si="228"/>
        <v>0</v>
      </c>
      <c r="AK71" s="56"/>
      <c r="AL71" s="56"/>
      <c r="AM71" s="56"/>
      <c r="AN71" s="56"/>
      <c r="AO71" s="56">
        <f t="shared" si="229"/>
        <v>0</v>
      </c>
      <c r="AP71" s="56">
        <f t="shared" si="230"/>
        <v>0</v>
      </c>
      <c r="AQ71" s="53">
        <f t="shared" si="231"/>
        <v>0</v>
      </c>
      <c r="AR71" s="53">
        <f t="shared" si="232"/>
        <v>0</v>
      </c>
      <c r="AS71" s="39"/>
      <c r="AT71" s="68">
        <f t="shared" si="233"/>
        <v>0</v>
      </c>
      <c r="AU71" s="68">
        <f t="shared" si="234"/>
        <v>0</v>
      </c>
      <c r="AV71" s="68">
        <f t="shared" si="235"/>
        <v>0</v>
      </c>
      <c r="AW71" s="68">
        <f t="shared" si="188"/>
        <v>0</v>
      </c>
      <c r="AX71" s="39"/>
      <c r="AY71" s="39"/>
    </row>
    <row r="72" spans="1:51" x14ac:dyDescent="0.25">
      <c r="A72" s="30">
        <v>2037</v>
      </c>
      <c r="B72" s="33">
        <f>w_uf*UF*Parámetros!C59</f>
        <v>1010726.9963073004</v>
      </c>
      <c r="C72" s="30">
        <f t="shared" si="221"/>
        <v>58</v>
      </c>
      <c r="D72" s="30">
        <f>((A72=Inputs!$C$12)*(Inputs!$D$12) + (A72=Inputs!$C$13)*(Inputs!$D$13) + (A72=Inputs!$C$14)*(Inputs!$D$14)) *(A72 &gt;= a_afil)*(A72&gt;=2024)</f>
        <v>0</v>
      </c>
      <c r="E72" s="30">
        <f>MIN(1,(A72=Inputs!$C$19)*Inputs!$D$19+(A72=Inputs!$C$20)*Inputs!$D$20+(A72=Inputs!$C$21)*Inputs!$D$21*(A72 &gt;= a_afil))</f>
        <v>0</v>
      </c>
      <c r="F72" s="30">
        <f t="shared" si="180"/>
        <v>1</v>
      </c>
      <c r="G72" s="30">
        <f t="shared" si="181"/>
        <v>1</v>
      </c>
      <c r="H72" s="30">
        <v>0.49707096815109253</v>
      </c>
      <c r="I72" s="37">
        <f t="shared" si="222"/>
        <v>0.57999999999999996</v>
      </c>
      <c r="J72" s="37">
        <f t="shared" si="223"/>
        <v>0.57999999999999996</v>
      </c>
      <c r="K72" s="30">
        <f>1*OR(Inputs!$D$17=$A72,Inputs!$E$17=$A72)*($E72=0)*(F72=1)</f>
        <v>0</v>
      </c>
      <c r="L72" s="30">
        <f>1*OR(Inputs!$D$17=$A72,Inputs!$E$17=$A72)*($E72=0)*(G72=1)</f>
        <v>0</v>
      </c>
      <c r="M72" s="73">
        <f t="shared" si="245"/>
        <v>211039.79682896432</v>
      </c>
      <c r="N72" s="73">
        <f t="shared" si="246"/>
        <v>211039.79682896432</v>
      </c>
      <c r="O72" s="55">
        <f>Parámetros!$E59*12*I72*$P$14</f>
        <v>281034.25276290352</v>
      </c>
      <c r="P72" s="55">
        <f>Parámetros!$E59*12*J72*$P$14</f>
        <v>281034.25276290352</v>
      </c>
      <c r="Q72" s="70">
        <f t="shared" si="225"/>
        <v>703465.9894298811</v>
      </c>
      <c r="R72" s="70">
        <f t="shared" si="226"/>
        <v>703465.9894298811</v>
      </c>
      <c r="S72" s="68">
        <f t="shared" si="243"/>
        <v>738639.28890137514</v>
      </c>
      <c r="T72" s="68">
        <f t="shared" si="244"/>
        <v>738639.28890137514</v>
      </c>
      <c r="U72" s="33"/>
      <c r="V72" s="68">
        <f t="shared" si="237"/>
        <v>2539439.4875688446</v>
      </c>
      <c r="W72" s="68">
        <f t="shared" si="238"/>
        <v>2539439.4875688446</v>
      </c>
      <c r="X72" s="54">
        <f t="shared" si="194"/>
        <v>34014242.349019349</v>
      </c>
      <c r="Y72" s="54">
        <f t="shared" si="195"/>
        <v>34014242.349019349</v>
      </c>
      <c r="Z72" s="55">
        <f t="shared" si="239"/>
        <v>34410750.738990411</v>
      </c>
      <c r="AA72" s="55">
        <f t="shared" si="240"/>
        <v>34410750.738990411</v>
      </c>
      <c r="AB72" s="53">
        <f>D72*mmater*Parámetros!$G59*$X$5+AB71*(1+i_noc)</f>
        <v>0</v>
      </c>
      <c r="AC72" s="53">
        <f>E72*12*Parámetros!$F59*$X$5+AC71*(1+i_noc)</f>
        <v>746501.98340591171</v>
      </c>
      <c r="AD72" s="53"/>
      <c r="AE72" s="53"/>
      <c r="AF72" s="175"/>
      <c r="AG72" s="74">
        <f t="shared" si="186"/>
        <v>0</v>
      </c>
      <c r="AH72" s="52">
        <f t="shared" si="187"/>
        <v>0</v>
      </c>
      <c r="AI72" s="56">
        <f t="shared" si="227"/>
        <v>0</v>
      </c>
      <c r="AJ72" s="56">
        <f t="shared" si="228"/>
        <v>0</v>
      </c>
      <c r="AK72" s="56"/>
      <c r="AL72" s="56"/>
      <c r="AM72" s="56"/>
      <c r="AN72" s="56"/>
      <c r="AO72" s="56">
        <f t="shared" si="229"/>
        <v>0</v>
      </c>
      <c r="AP72" s="56">
        <f t="shared" si="230"/>
        <v>0</v>
      </c>
      <c r="AQ72" s="53">
        <f t="shared" si="231"/>
        <v>0</v>
      </c>
      <c r="AR72" s="53">
        <f t="shared" si="232"/>
        <v>0</v>
      </c>
      <c r="AS72" s="39"/>
      <c r="AT72" s="68">
        <f t="shared" si="233"/>
        <v>0</v>
      </c>
      <c r="AU72" s="68">
        <f t="shared" si="234"/>
        <v>0</v>
      </c>
      <c r="AV72" s="68">
        <f t="shared" si="235"/>
        <v>0</v>
      </c>
      <c r="AW72" s="68">
        <f t="shared" si="188"/>
        <v>0</v>
      </c>
      <c r="AX72" s="39"/>
      <c r="AY72" s="39"/>
    </row>
    <row r="73" spans="1:51" x14ac:dyDescent="0.25">
      <c r="A73" s="30">
        <v>2038</v>
      </c>
      <c r="B73" s="33">
        <f>w_uf*UF*Parámetros!C60</f>
        <v>1023361.0837611416</v>
      </c>
      <c r="C73" s="30">
        <f t="shared" si="221"/>
        <v>59</v>
      </c>
      <c r="D73" s="30">
        <f>((A73=Inputs!$C$12)*(Inputs!$D$12) + (A73=Inputs!$C$13)*(Inputs!$D$13) + (A73=Inputs!$C$14)*(Inputs!$D$14)) *(A73 &gt;= a_afil)*(A73&gt;=2024)</f>
        <v>0</v>
      </c>
      <c r="E73" s="30">
        <f>MIN(1,(A73=Inputs!$C$19)*Inputs!$D$19+(A73=Inputs!$C$20)*Inputs!$D$20+(A73=Inputs!$C$21)*Inputs!$D$21*(A73 &gt;= a_afil))</f>
        <v>0</v>
      </c>
      <c r="F73" s="30">
        <f t="shared" si="180"/>
        <v>1</v>
      </c>
      <c r="G73" s="30">
        <f t="shared" si="181"/>
        <v>1</v>
      </c>
      <c r="H73" s="30">
        <v>0.15543568134307861</v>
      </c>
      <c r="I73" s="37">
        <f t="shared" si="222"/>
        <v>0.57999999999999996</v>
      </c>
      <c r="J73" s="37">
        <f t="shared" si="223"/>
        <v>0.57999999999999996</v>
      </c>
      <c r="K73" s="30">
        <f>1*OR(Inputs!$D$17=$A73,Inputs!$E$17=$A73)*($E73=0)*(F73=1)</f>
        <v>0</v>
      </c>
      <c r="L73" s="30">
        <f>1*OR(Inputs!$D$17=$A73,Inputs!$E$17=$A73)*($E73=0)*(G73=1)</f>
        <v>0</v>
      </c>
      <c r="M73" s="73">
        <f t="shared" si="245"/>
        <v>213677.79428932635</v>
      </c>
      <c r="N73" s="73">
        <f t="shared" si="246"/>
        <v>213677.79428932635</v>
      </c>
      <c r="O73" s="55">
        <f>Parámetros!$E60*12*I73*$P$14</f>
        <v>284547.18092243985</v>
      </c>
      <c r="P73" s="55">
        <f>Parámetros!$E60*12*J73*$P$14</f>
        <v>284547.18092243985</v>
      </c>
      <c r="Q73" s="70">
        <f t="shared" si="225"/>
        <v>712259.31429775455</v>
      </c>
      <c r="R73" s="70">
        <f t="shared" si="226"/>
        <v>712259.31429775455</v>
      </c>
      <c r="S73" s="68">
        <f t="shared" si="243"/>
        <v>747872.28001264227</v>
      </c>
      <c r="T73" s="68">
        <f t="shared" si="244"/>
        <v>747872.28001264227</v>
      </c>
      <c r="U73" s="33"/>
      <c r="V73" s="68">
        <f t="shared" si="237"/>
        <v>2856850.8036738541</v>
      </c>
      <c r="W73" s="68">
        <f t="shared" si="238"/>
        <v>2856850.8036738541</v>
      </c>
      <c r="X73" s="54">
        <f t="shared" si="194"/>
        <v>35876183.054713964</v>
      </c>
      <c r="Y73" s="54">
        <f t="shared" si="195"/>
        <v>35876183.054713964</v>
      </c>
      <c r="Z73" s="55">
        <f t="shared" si="239"/>
        <v>36276171.886315055</v>
      </c>
      <c r="AA73" s="55">
        <f t="shared" si="240"/>
        <v>36276171.886315055</v>
      </c>
      <c r="AB73" s="53">
        <f>D73*mmater*Parámetros!$G60*$X$5+AB72*(1+i_noc)</f>
        <v>0</v>
      </c>
      <c r="AC73" s="53">
        <f>E73*12*Parámetros!$F60*$X$5+AC72*(1+i_noc)</f>
        <v>761432.02307402994</v>
      </c>
      <c r="AD73" s="53"/>
      <c r="AE73" s="53"/>
      <c r="AF73" s="175"/>
      <c r="AG73" s="74">
        <f t="shared" si="186"/>
        <v>0</v>
      </c>
      <c r="AH73" s="52">
        <f t="shared" si="187"/>
        <v>0</v>
      </c>
      <c r="AI73" s="56">
        <f t="shared" si="227"/>
        <v>0</v>
      </c>
      <c r="AJ73" s="56">
        <f t="shared" si="228"/>
        <v>0</v>
      </c>
      <c r="AK73" s="56"/>
      <c r="AL73" s="56"/>
      <c r="AM73" s="56"/>
      <c r="AN73" s="56"/>
      <c r="AO73" s="56">
        <f t="shared" si="229"/>
        <v>0</v>
      </c>
      <c r="AP73" s="56">
        <f t="shared" si="230"/>
        <v>0</v>
      </c>
      <c r="AQ73" s="53">
        <f t="shared" si="231"/>
        <v>0</v>
      </c>
      <c r="AR73" s="53">
        <f t="shared" si="232"/>
        <v>0</v>
      </c>
      <c r="AS73" s="39"/>
      <c r="AT73" s="68">
        <f t="shared" si="233"/>
        <v>0</v>
      </c>
      <c r="AU73" s="68">
        <f t="shared" si="234"/>
        <v>0</v>
      </c>
      <c r="AV73" s="68">
        <f t="shared" si="235"/>
        <v>0</v>
      </c>
      <c r="AW73" s="68">
        <f t="shared" si="188"/>
        <v>0</v>
      </c>
      <c r="AX73" s="39"/>
      <c r="AY73" s="39"/>
    </row>
    <row r="74" spans="1:51" x14ac:dyDescent="0.25">
      <c r="A74" s="30">
        <v>2039</v>
      </c>
      <c r="B74" s="33">
        <f>w_uf*UF*Parámetros!C61</f>
        <v>1036153.0973081558</v>
      </c>
      <c r="C74" s="30">
        <f t="shared" si="221"/>
        <v>60</v>
      </c>
      <c r="D74" s="30">
        <f>((A74=Inputs!$C$12)*(Inputs!$D$12) + (A74=Inputs!$C$13)*(Inputs!$D$13) + (A74=Inputs!$C$14)*(Inputs!$D$14)) *(A74 &gt;= a_afil)*(A74&gt;=2024)</f>
        <v>0</v>
      </c>
      <c r="E74" s="30">
        <f>MIN(1,(A74=Inputs!$C$19)*Inputs!$D$19+(A74=Inputs!$C$20)*Inputs!$D$20+(A74=Inputs!$C$21)*Inputs!$D$21*(A74 &gt;= a_afil))</f>
        <v>0</v>
      </c>
      <c r="F74" s="30">
        <f t="shared" si="180"/>
        <v>1</v>
      </c>
      <c r="G74" s="30">
        <f t="shared" si="181"/>
        <v>1</v>
      </c>
      <c r="H74" s="30">
        <v>0.22373753786087036</v>
      </c>
      <c r="I74" s="37">
        <f t="shared" si="222"/>
        <v>0.57999999999999996</v>
      </c>
      <c r="J74" s="37">
        <f t="shared" si="223"/>
        <v>0.57999999999999996</v>
      </c>
      <c r="K74" s="30">
        <f>1*OR(Inputs!$D$17=$A74,Inputs!$E$17=$A74)*($E74=0)*(F74=1)</f>
        <v>0</v>
      </c>
      <c r="L74" s="30">
        <f>1*OR(Inputs!$D$17=$A74,Inputs!$E$17=$A74)*($E74=0)*(G74=1)</f>
        <v>0</v>
      </c>
      <c r="M74" s="73">
        <f t="shared" si="245"/>
        <v>216348.7667179429</v>
      </c>
      <c r="N74" s="73">
        <f t="shared" si="246"/>
        <v>216348.7667179429</v>
      </c>
      <c r="O74" s="55">
        <f>Parámetros!$E61*12*I74*$P$14</f>
        <v>288104.0206839703</v>
      </c>
      <c r="P74" s="55">
        <f>Parámetros!$E61*12*J74*$P$14</f>
        <v>288104.0206839703</v>
      </c>
      <c r="Q74" s="70">
        <f t="shared" si="225"/>
        <v>721162.55572647648</v>
      </c>
      <c r="R74" s="70">
        <f t="shared" si="226"/>
        <v>721162.55572647648</v>
      </c>
      <c r="S74" s="68">
        <f t="shared" si="243"/>
        <v>757220.68351280026</v>
      </c>
      <c r="T74" s="68">
        <f t="shared" si="244"/>
        <v>757220.68351280026</v>
      </c>
      <c r="U74" s="177"/>
      <c r="V74" s="68">
        <f t="shared" si="237"/>
        <v>3187507.3359239087</v>
      </c>
      <c r="W74" s="68">
        <f t="shared" si="238"/>
        <v>3187507.3359239087</v>
      </c>
      <c r="X74" s="54">
        <f t="shared" si="194"/>
        <v>37809960.597689778</v>
      </c>
      <c r="Y74" s="54">
        <f t="shared" si="195"/>
        <v>37809960.597689778</v>
      </c>
      <c r="Z74" s="55">
        <f t="shared" si="239"/>
        <v>38211524.227270335</v>
      </c>
      <c r="AA74" s="55">
        <f t="shared" si="240"/>
        <v>38211524.227270335</v>
      </c>
      <c r="AB74" s="53">
        <f>D74*mmater*Parámetros!$G61*$X$5+AB73*(1+i_noc)</f>
        <v>0</v>
      </c>
      <c r="AC74" s="53">
        <f>E74*12*Parámetros!$F61*$X$5+AC73*(1+i_noc)</f>
        <v>776660.66353551054</v>
      </c>
      <c r="AD74" s="53"/>
      <c r="AE74" s="53"/>
      <c r="AF74" s="175"/>
      <c r="AG74" s="74">
        <f t="shared" si="186"/>
        <v>0</v>
      </c>
      <c r="AH74" s="52">
        <f t="shared" si="187"/>
        <v>0</v>
      </c>
      <c r="AI74" s="56">
        <f t="shared" si="227"/>
        <v>0</v>
      </c>
      <c r="AJ74" s="56">
        <f t="shared" si="228"/>
        <v>0</v>
      </c>
      <c r="AK74" s="56"/>
      <c r="AL74" s="56"/>
      <c r="AM74" s="56"/>
      <c r="AN74" s="56"/>
      <c r="AO74" s="56">
        <f t="shared" si="229"/>
        <v>0</v>
      </c>
      <c r="AP74" s="56">
        <f t="shared" si="230"/>
        <v>0</v>
      </c>
      <c r="AQ74" s="53">
        <f t="shared" si="231"/>
        <v>0</v>
      </c>
      <c r="AR74" s="53">
        <f t="shared" si="232"/>
        <v>0</v>
      </c>
      <c r="AS74" s="39"/>
      <c r="AT74" s="68">
        <f t="shared" si="233"/>
        <v>0</v>
      </c>
      <c r="AU74" s="68">
        <f t="shared" si="234"/>
        <v>0</v>
      </c>
      <c r="AV74" s="68">
        <f t="shared" si="235"/>
        <v>0</v>
      </c>
      <c r="AW74" s="68">
        <f t="shared" si="188"/>
        <v>0</v>
      </c>
      <c r="AX74" s="39"/>
      <c r="AY74" s="39"/>
    </row>
    <row r="75" spans="1:51" x14ac:dyDescent="0.25">
      <c r="A75" s="30">
        <v>2040</v>
      </c>
      <c r="B75" s="33">
        <f>w_uf*UF*Parámetros!C62</f>
        <v>1049105.0110245079</v>
      </c>
      <c r="C75" s="30">
        <f t="shared" si="221"/>
        <v>61</v>
      </c>
      <c r="D75" s="30">
        <f>((A75=Inputs!$C$12)*(Inputs!$D$12) + (A75=Inputs!$C$13)*(Inputs!$D$13) + (A75=Inputs!$C$14)*(Inputs!$D$14)) *(A75 &gt;= a_afil)*(A75&gt;=2024)</f>
        <v>0</v>
      </c>
      <c r="E75" s="30">
        <f>MIN(1,(A75=Inputs!$C$19)*Inputs!$D$19+(A75=Inputs!$C$20)*Inputs!$D$20+(A75=Inputs!$C$21)*Inputs!$D$21*(A75 &gt;= a_afil))</f>
        <v>0</v>
      </c>
      <c r="F75" s="30">
        <f t="shared" si="180"/>
        <v>1</v>
      </c>
      <c r="G75" s="30">
        <f t="shared" si="181"/>
        <v>1</v>
      </c>
      <c r="H75" s="30">
        <v>0.32614398002624512</v>
      </c>
      <c r="I75" s="37">
        <f t="shared" si="222"/>
        <v>0.57999999999999996</v>
      </c>
      <c r="J75" s="37">
        <f t="shared" si="223"/>
        <v>0.57999999999999996</v>
      </c>
      <c r="K75" s="30">
        <f>1*OR(Inputs!$D$17=$A75,Inputs!$E$17=$A75)*($E75=0)*(F75=1)</f>
        <v>0</v>
      </c>
      <c r="L75" s="30">
        <f>1*OR(Inputs!$D$17=$A75,Inputs!$E$17=$A75)*($E75=0)*(G75=1)</f>
        <v>0</v>
      </c>
      <c r="M75" s="73">
        <f t="shared" si="245"/>
        <v>219053.12630191725</v>
      </c>
      <c r="N75" s="73">
        <f t="shared" si="246"/>
        <v>219053.12630191725</v>
      </c>
      <c r="O75" s="55">
        <f>Parámetros!$E62*12*I75*$P$14</f>
        <v>291705.32094251987</v>
      </c>
      <c r="P75" s="55">
        <f>Parámetros!$E62*12*J75*$P$14</f>
        <v>291705.32094251987</v>
      </c>
      <c r="Q75" s="70">
        <f t="shared" si="225"/>
        <v>730177.08767305757</v>
      </c>
      <c r="R75" s="70">
        <f t="shared" si="226"/>
        <v>730177.08767305757</v>
      </c>
      <c r="S75" s="68">
        <f t="shared" si="243"/>
        <v>766685.94205671037</v>
      </c>
      <c r="T75" s="68">
        <f t="shared" si="244"/>
        <v>766685.94205671037</v>
      </c>
      <c r="U75" s="177"/>
      <c r="V75" s="68">
        <f t="shared" si="237"/>
        <v>3531875.9548648712</v>
      </c>
      <c r="W75" s="68">
        <f t="shared" si="238"/>
        <v>3531875.9548648712</v>
      </c>
      <c r="X75" s="54">
        <f t="shared" si="194"/>
        <v>39818114.353564754</v>
      </c>
      <c r="Y75" s="54">
        <f t="shared" si="195"/>
        <v>39818114.353564754</v>
      </c>
      <c r="Z75" s="55">
        <f t="shared" si="239"/>
        <v>40219195.753813706</v>
      </c>
      <c r="AA75" s="55">
        <f t="shared" si="240"/>
        <v>40219195.753813706</v>
      </c>
      <c r="AB75" s="53">
        <f>D75*mmater*Parámetros!$G62*$X$5+AB74*(1+i_noc)</f>
        <v>0</v>
      </c>
      <c r="AC75" s="53">
        <f>E75*12*Parámetros!$F62*$X$5+AC74*(1+i_noc)</f>
        <v>792193.87680622074</v>
      </c>
      <c r="AD75" s="53"/>
      <c r="AE75" s="53"/>
      <c r="AF75" s="175"/>
      <c r="AG75" s="74">
        <f t="shared" si="186"/>
        <v>0</v>
      </c>
      <c r="AH75" s="52">
        <f t="shared" si="187"/>
        <v>0</v>
      </c>
      <c r="AI75" s="56">
        <f t="shared" si="227"/>
        <v>0</v>
      </c>
      <c r="AJ75" s="56">
        <f t="shared" si="228"/>
        <v>0</v>
      </c>
      <c r="AK75" s="56"/>
      <c r="AL75" s="56"/>
      <c r="AM75" s="56"/>
      <c r="AN75" s="56"/>
      <c r="AO75" s="56">
        <f t="shared" si="229"/>
        <v>0</v>
      </c>
      <c r="AP75" s="56">
        <f t="shared" si="230"/>
        <v>0</v>
      </c>
      <c r="AQ75" s="53">
        <f t="shared" si="231"/>
        <v>0</v>
      </c>
      <c r="AR75" s="53">
        <f t="shared" si="232"/>
        <v>0</v>
      </c>
      <c r="AS75" s="39"/>
      <c r="AT75" s="68">
        <f t="shared" si="233"/>
        <v>0</v>
      </c>
      <c r="AU75" s="68">
        <f t="shared" si="234"/>
        <v>0</v>
      </c>
      <c r="AV75" s="68">
        <f t="shared" si="235"/>
        <v>0</v>
      </c>
      <c r="AW75" s="68">
        <f t="shared" si="188"/>
        <v>0</v>
      </c>
      <c r="AX75" s="39"/>
      <c r="AY75" s="39"/>
    </row>
    <row r="76" spans="1:51" x14ac:dyDescent="0.25">
      <c r="A76" s="30">
        <v>2041</v>
      </c>
      <c r="B76" s="33">
        <f>w_uf*UF*Parámetros!C63</f>
        <v>1062218.8236623141</v>
      </c>
      <c r="C76" s="30">
        <f t="shared" si="221"/>
        <v>62</v>
      </c>
      <c r="D76" s="30">
        <f>((A76=Inputs!$C$12)*(Inputs!$D$12) + (A76=Inputs!$C$13)*(Inputs!$D$13) + (A76=Inputs!$C$14)*(Inputs!$D$14)) *(A76 &gt;= a_afil)*(A76&gt;=2024)</f>
        <v>0</v>
      </c>
      <c r="E76" s="30">
        <f>MIN(1,(A76=Inputs!$C$19)*Inputs!$D$19+(A76=Inputs!$C$20)*Inputs!$D$20+(A76=Inputs!$C$21)*Inputs!$D$21*(A76 &gt;= a_afil))</f>
        <v>0</v>
      </c>
      <c r="F76" s="30">
        <f t="shared" si="180"/>
        <v>1</v>
      </c>
      <c r="G76" s="30">
        <f t="shared" si="181"/>
        <v>1</v>
      </c>
      <c r="H76" s="30">
        <v>0.78448861837387085</v>
      </c>
      <c r="I76" s="37">
        <f t="shared" si="222"/>
        <v>0.57999999999999996</v>
      </c>
      <c r="J76" s="37">
        <f t="shared" si="223"/>
        <v>0.57999999999999996</v>
      </c>
      <c r="K76" s="30">
        <f>1*OR(Inputs!$D$17=$A76,Inputs!$E$17=$A76)*($E76=0)*(F76=1)</f>
        <v>0</v>
      </c>
      <c r="L76" s="30">
        <f>1*OR(Inputs!$D$17=$A76,Inputs!$E$17=$A76)*($E76=0)*(G76=1)</f>
        <v>0</v>
      </c>
      <c r="M76" s="73">
        <f t="shared" si="245"/>
        <v>221791.29038069118</v>
      </c>
      <c r="N76" s="73">
        <f t="shared" si="246"/>
        <v>221791.29038069118</v>
      </c>
      <c r="O76" s="55">
        <f>Parámetros!$E63*12*I76*$P$14</f>
        <v>295351.63745430141</v>
      </c>
      <c r="P76" s="55">
        <f>Parámetros!$E63*12*J76*$P$14</f>
        <v>295351.63745430141</v>
      </c>
      <c r="Q76" s="70">
        <f t="shared" si="225"/>
        <v>739304.30126897059</v>
      </c>
      <c r="R76" s="70">
        <f t="shared" si="226"/>
        <v>739304.30126897059</v>
      </c>
      <c r="S76" s="68">
        <f t="shared" si="243"/>
        <v>776269.51633241912</v>
      </c>
      <c r="T76" s="68">
        <f t="shared" si="244"/>
        <v>776269.51633241912</v>
      </c>
      <c r="U76" s="177"/>
      <c r="V76" s="68">
        <f t="shared" si="237"/>
        <v>3890439.1523385402</v>
      </c>
      <c r="W76" s="68">
        <f t="shared" si="238"/>
        <v>3890439.1523385402</v>
      </c>
      <c r="X76" s="54">
        <f t="shared" si="194"/>
        <v>41903270.919984214</v>
      </c>
      <c r="Y76" s="54">
        <f t="shared" si="195"/>
        <v>41903270.919984214</v>
      </c>
      <c r="Z76" s="55">
        <f t="shared" si="239"/>
        <v>42301653.472775057</v>
      </c>
      <c r="AA76" s="55">
        <f t="shared" si="240"/>
        <v>42301653.472775057</v>
      </c>
      <c r="AB76" s="53">
        <f>D76*mmater*Parámetros!$G63*$X$5+AB75*(1+i_noc)</f>
        <v>0</v>
      </c>
      <c r="AC76" s="53">
        <f>E76*12*Parámetros!$F63*$X$5+AC75*(1+i_noc)</f>
        <v>808037.75434234517</v>
      </c>
      <c r="AD76" s="53"/>
      <c r="AE76" s="53"/>
      <c r="AF76" s="175"/>
      <c r="AG76" s="74">
        <f t="shared" si="186"/>
        <v>0</v>
      </c>
      <c r="AH76" s="52">
        <f t="shared" si="187"/>
        <v>0</v>
      </c>
      <c r="AI76" s="56">
        <f t="shared" si="227"/>
        <v>0</v>
      </c>
      <c r="AJ76" s="56">
        <f t="shared" si="228"/>
        <v>0</v>
      </c>
      <c r="AK76" s="56"/>
      <c r="AL76" s="56"/>
      <c r="AM76" s="56"/>
      <c r="AN76" s="56"/>
      <c r="AO76" s="56">
        <f t="shared" si="229"/>
        <v>0</v>
      </c>
      <c r="AP76" s="56">
        <f t="shared" si="230"/>
        <v>0</v>
      </c>
      <c r="AQ76" s="53">
        <f t="shared" si="231"/>
        <v>0</v>
      </c>
      <c r="AR76" s="53">
        <f t="shared" si="232"/>
        <v>0</v>
      </c>
      <c r="AS76" s="39"/>
      <c r="AT76" s="68">
        <f t="shared" si="233"/>
        <v>0</v>
      </c>
      <c r="AU76" s="68">
        <f t="shared" si="234"/>
        <v>0</v>
      </c>
      <c r="AV76" s="68">
        <f t="shared" si="235"/>
        <v>0</v>
      </c>
      <c r="AW76" s="68">
        <f t="shared" si="188"/>
        <v>0</v>
      </c>
      <c r="AX76" s="39"/>
      <c r="AY76" s="39"/>
    </row>
    <row r="77" spans="1:51" x14ac:dyDescent="0.25">
      <c r="A77" s="30">
        <v>2042</v>
      </c>
      <c r="B77" s="33">
        <f>w_uf*UF*Parámetros!C64</f>
        <v>1075496.5589580929</v>
      </c>
      <c r="C77" s="30">
        <f t="shared" si="221"/>
        <v>63</v>
      </c>
      <c r="D77" s="30">
        <f>((A77=Inputs!$C$12)*(Inputs!$D$12) + (A77=Inputs!$C$13)*(Inputs!$D$13) + (A77=Inputs!$C$14)*(Inputs!$D$14)) *(A77 &gt;= a_afil)*(A77&gt;=2024)</f>
        <v>0</v>
      </c>
      <c r="E77" s="30">
        <f>MIN(1,(A77=Inputs!$C$19)*Inputs!$D$19+(A77=Inputs!$C$20)*Inputs!$D$20+(A77=Inputs!$C$21)*Inputs!$D$21*(A77 &gt;= a_afil))</f>
        <v>0</v>
      </c>
      <c r="F77" s="30">
        <f t="shared" si="180"/>
        <v>1</v>
      </c>
      <c r="G77" s="30">
        <f t="shared" si="181"/>
        <v>1</v>
      </c>
      <c r="H77" s="30">
        <v>5.0262808799743652E-2</v>
      </c>
      <c r="I77" s="37">
        <f t="shared" si="222"/>
        <v>0.57999999999999996</v>
      </c>
      <c r="J77" s="37">
        <f t="shared" si="223"/>
        <v>0.57999999999999996</v>
      </c>
      <c r="K77" s="30">
        <f>1*OR(Inputs!$D$17=$A77,Inputs!$E$17=$A77)*($E77=0)*(F77=1)</f>
        <v>0</v>
      </c>
      <c r="L77" s="30">
        <f>1*OR(Inputs!$D$17=$A77,Inputs!$E$17=$A77)*($E77=0)*(G77=1)</f>
        <v>0</v>
      </c>
      <c r="M77" s="73">
        <f t="shared" si="245"/>
        <v>224563.68151044979</v>
      </c>
      <c r="N77" s="73">
        <f t="shared" si="246"/>
        <v>224563.68151044979</v>
      </c>
      <c r="O77" s="55">
        <f>Parámetros!$E64*12*I77*$P$14</f>
        <v>299043.5329224802</v>
      </c>
      <c r="P77" s="55">
        <f>Parámetros!$E64*12*J77*$P$14</f>
        <v>299043.5329224802</v>
      </c>
      <c r="Q77" s="70">
        <f t="shared" si="225"/>
        <v>748545.60503483273</v>
      </c>
      <c r="R77" s="70">
        <f t="shared" si="226"/>
        <v>748545.60503483273</v>
      </c>
      <c r="S77" s="68">
        <f t="shared" si="243"/>
        <v>785972.88528657437</v>
      </c>
      <c r="T77" s="68">
        <f t="shared" si="244"/>
        <v>785972.88528657437</v>
      </c>
      <c r="U77" s="177"/>
      <c r="V77" s="68">
        <f t="shared" si="237"/>
        <v>4263695.5545471618</v>
      </c>
      <c r="W77" s="68">
        <f t="shared" si="238"/>
        <v>4263695.5545471618</v>
      </c>
      <c r="X77" s="54">
        <f t="shared" si="194"/>
        <v>44068147.082114518</v>
      </c>
      <c r="Y77" s="54">
        <f t="shared" si="195"/>
        <v>44068147.082114518</v>
      </c>
      <c r="Z77" s="55">
        <f t="shared" si="239"/>
        <v>44461445.990260437</v>
      </c>
      <c r="AA77" s="55">
        <f t="shared" si="240"/>
        <v>44461445.990260437</v>
      </c>
      <c r="AB77" s="53">
        <f>D77*mmater*Parámetros!$G64*$X$5+AB76*(1+i_noc)</f>
        <v>0</v>
      </c>
      <c r="AC77" s="53">
        <f>E77*12*Parámetros!$F64*$X$5+AC76*(1+i_noc)</f>
        <v>824198.50942919205</v>
      </c>
      <c r="AD77" s="53"/>
      <c r="AE77" s="53"/>
      <c r="AF77" s="175"/>
      <c r="AG77" s="74">
        <f t="shared" si="186"/>
        <v>0</v>
      </c>
      <c r="AH77" s="52">
        <f t="shared" si="187"/>
        <v>0</v>
      </c>
      <c r="AI77" s="56">
        <f t="shared" si="227"/>
        <v>0</v>
      </c>
      <c r="AJ77" s="56">
        <f t="shared" si="228"/>
        <v>0</v>
      </c>
      <c r="AK77" s="56"/>
      <c r="AL77" s="56"/>
      <c r="AM77" s="56"/>
      <c r="AN77" s="56"/>
      <c r="AO77" s="56">
        <f t="shared" si="229"/>
        <v>0</v>
      </c>
      <c r="AP77" s="56">
        <f t="shared" si="230"/>
        <v>0</v>
      </c>
      <c r="AQ77" s="53">
        <f t="shared" si="231"/>
        <v>0</v>
      </c>
      <c r="AR77" s="53">
        <f t="shared" si="232"/>
        <v>0</v>
      </c>
      <c r="AS77" s="39"/>
      <c r="AT77" s="68">
        <f t="shared" si="233"/>
        <v>0</v>
      </c>
      <c r="AU77" s="68">
        <f t="shared" si="234"/>
        <v>0</v>
      </c>
      <c r="AV77" s="68">
        <f t="shared" si="235"/>
        <v>0</v>
      </c>
      <c r="AW77" s="68">
        <f t="shared" si="188"/>
        <v>0</v>
      </c>
      <c r="AX77" s="39"/>
      <c r="AY77" s="39"/>
    </row>
    <row r="78" spans="1:51" x14ac:dyDescent="0.25">
      <c r="A78" s="30">
        <v>2043</v>
      </c>
      <c r="B78" s="33">
        <f>w_uf*UF*Parámetros!C65</f>
        <v>1088940.2659450693</v>
      </c>
      <c r="C78" s="30">
        <f t="shared" si="221"/>
        <v>64</v>
      </c>
      <c r="D78" s="30">
        <f>((A78=Inputs!$C$12)*(Inputs!$D$12) + (A78=Inputs!$C$13)*(Inputs!$D$13) + (A78=Inputs!$C$14)*(Inputs!$D$14)) *(A78 &gt;= a_afil)*(A78&gt;=2024)</f>
        <v>0</v>
      </c>
      <c r="E78" s="30">
        <f>MIN(1,(A78=Inputs!$C$19)*Inputs!$D$19+(A78=Inputs!$C$20)*Inputs!$D$20+(A78=Inputs!$C$21)*Inputs!$D$21*(A78 &gt;= a_afil))</f>
        <v>0</v>
      </c>
      <c r="F78" s="30">
        <f t="shared" si="180"/>
        <v>1</v>
      </c>
      <c r="G78" s="30">
        <f t="shared" si="181"/>
        <v>1</v>
      </c>
      <c r="H78" s="30">
        <v>0.51801592111587524</v>
      </c>
      <c r="I78" s="37">
        <f t="shared" si="222"/>
        <v>0.57999999999999996</v>
      </c>
      <c r="J78" s="37">
        <f t="shared" si="223"/>
        <v>0.57999999999999996</v>
      </c>
      <c r="K78" s="30">
        <f>1*OR(Inputs!$D$17=$A78,Inputs!$E$17=$A78)*($E78=0)*(F78=1)</f>
        <v>0</v>
      </c>
      <c r="L78" s="30">
        <f>1*OR(Inputs!$D$17=$A78,Inputs!$E$17=$A78)*($E78=0)*(G78=1)</f>
        <v>0</v>
      </c>
      <c r="M78" s="73">
        <f t="shared" si="245"/>
        <v>227370.72752933041</v>
      </c>
      <c r="N78" s="73">
        <f t="shared" si="246"/>
        <v>227370.72752933041</v>
      </c>
      <c r="O78" s="55">
        <f>Parámetros!$E65*12*I78*$P$14</f>
        <v>302781.57708401111</v>
      </c>
      <c r="P78" s="55">
        <f>Parámetros!$E65*12*J78*$P$14</f>
        <v>302781.57708401111</v>
      </c>
      <c r="Q78" s="70">
        <f t="shared" si="225"/>
        <v>757902.42509776819</v>
      </c>
      <c r="R78" s="70">
        <f t="shared" si="226"/>
        <v>757902.42509776819</v>
      </c>
      <c r="S78" s="68">
        <f t="shared" si="243"/>
        <v>795797.54635265667</v>
      </c>
      <c r="T78" s="68">
        <f t="shared" si="244"/>
        <v>795797.54635265667</v>
      </c>
      <c r="U78" s="177"/>
      <c r="V78" s="68">
        <f t="shared" si="237"/>
        <v>4652160.4518522993</v>
      </c>
      <c r="W78" s="68">
        <f t="shared" si="238"/>
        <v>4652160.4518522993</v>
      </c>
      <c r="X78" s="54">
        <f t="shared" si="194"/>
        <v>46315552.87858776</v>
      </c>
      <c r="Y78" s="54">
        <f t="shared" si="195"/>
        <v>46315552.87858776</v>
      </c>
      <c r="Z78" s="55">
        <f t="shared" si="239"/>
        <v>46701206.180217043</v>
      </c>
      <c r="AA78" s="55">
        <f t="shared" si="240"/>
        <v>46701206.180217043</v>
      </c>
      <c r="AB78" s="53">
        <f>D78*mmater*Parámetros!$G65*$X$5+AB77*(1+i_noc)</f>
        <v>0</v>
      </c>
      <c r="AC78" s="53">
        <f>E78*12*Parámetros!$F65*$X$5+AC77*(1+i_noc)</f>
        <v>840682.47961777588</v>
      </c>
      <c r="AD78" s="53"/>
      <c r="AE78" s="53"/>
      <c r="AF78" s="175"/>
      <c r="AG78" s="74">
        <f t="shared" si="186"/>
        <v>0</v>
      </c>
      <c r="AH78" s="52">
        <f t="shared" si="187"/>
        <v>0</v>
      </c>
      <c r="AI78" s="56">
        <f t="shared" si="227"/>
        <v>0</v>
      </c>
      <c r="AJ78" s="56">
        <f t="shared" si="228"/>
        <v>0</v>
      </c>
      <c r="AK78" s="56"/>
      <c r="AL78" s="56"/>
      <c r="AM78" s="56"/>
      <c r="AN78" s="56"/>
      <c r="AO78" s="56">
        <f t="shared" si="229"/>
        <v>0</v>
      </c>
      <c r="AP78" s="56">
        <f t="shared" si="230"/>
        <v>0</v>
      </c>
      <c r="AQ78" s="53">
        <f t="shared" si="231"/>
        <v>0</v>
      </c>
      <c r="AR78" s="53">
        <f t="shared" si="232"/>
        <v>0</v>
      </c>
      <c r="AS78" s="39"/>
      <c r="AT78" s="68">
        <f t="shared" si="233"/>
        <v>0</v>
      </c>
      <c r="AU78" s="68">
        <f t="shared" si="234"/>
        <v>0</v>
      </c>
      <c r="AV78" s="68">
        <f t="shared" si="235"/>
        <v>0</v>
      </c>
      <c r="AW78" s="68">
        <f t="shared" si="188"/>
        <v>0</v>
      </c>
      <c r="AX78" s="39"/>
      <c r="AY78" s="39"/>
    </row>
    <row r="79" spans="1:51" x14ac:dyDescent="0.25">
      <c r="A79" s="30">
        <v>2044</v>
      </c>
      <c r="B79" s="33">
        <f>w_uf*UF*Parámetros!C66</f>
        <v>1102552.0192693826</v>
      </c>
      <c r="C79" s="30">
        <f t="shared" si="221"/>
        <v>65</v>
      </c>
      <c r="D79" s="30">
        <f>((A79=Inputs!$C$12)*(Inputs!$D$12) + (A79=Inputs!$C$13)*(Inputs!$D$13) + (A79=Inputs!$C$14)*(Inputs!$D$14)) *(A79 &gt;= a_afil)*(A79&gt;=2024)</f>
        <v>0</v>
      </c>
      <c r="E79" s="30">
        <f>MIN(1,(A79=Inputs!$C$19)*Inputs!$D$19+(A79=Inputs!$C$20)*Inputs!$D$20+(A79=Inputs!$C$21)*Inputs!$D$21*(A79 &gt;= a_afil))</f>
        <v>0</v>
      </c>
      <c r="F79" s="30">
        <f t="shared" si="180"/>
        <v>0</v>
      </c>
      <c r="G79" s="30">
        <f t="shared" si="181"/>
        <v>0</v>
      </c>
      <c r="H79" s="30">
        <v>0.75702953338623047</v>
      </c>
      <c r="I79" s="37">
        <f t="shared" si="222"/>
        <v>0</v>
      </c>
      <c r="J79" s="37">
        <f t="shared" si="223"/>
        <v>0</v>
      </c>
      <c r="K79" s="30">
        <f>1*OR(Inputs!$D$17=$A79,Inputs!$E$17=$A79)*($E79=0)*(F79=1)</f>
        <v>0</v>
      </c>
      <c r="L79" s="30">
        <f>1*OR(Inputs!$D$17=$A79,Inputs!$E$17=$A79)*($E79=0)*(G79=1)</f>
        <v>0</v>
      </c>
      <c r="M79" s="73">
        <f t="shared" si="245"/>
        <v>0</v>
      </c>
      <c r="N79" s="73">
        <f t="shared" si="246"/>
        <v>0</v>
      </c>
      <c r="O79" s="55">
        <f>Parámetros!$E66*12*I79*$P$14</f>
        <v>0</v>
      </c>
      <c r="P79" s="55">
        <f>Parámetros!$E66*12*J79*$P$14</f>
        <v>0</v>
      </c>
      <c r="Q79" s="70">
        <f t="shared" si="225"/>
        <v>0</v>
      </c>
      <c r="R79" s="70">
        <f t="shared" si="226"/>
        <v>0</v>
      </c>
      <c r="S79" s="68">
        <f t="shared" si="243"/>
        <v>0</v>
      </c>
      <c r="T79" s="68">
        <f t="shared" si="244"/>
        <v>0</v>
      </c>
      <c r="U79" s="177"/>
      <c r="V79" s="68">
        <f t="shared" si="237"/>
        <v>4803247.4386767484</v>
      </c>
      <c r="W79" s="68">
        <f t="shared" si="238"/>
        <v>4803247.4386767484</v>
      </c>
      <c r="X79" s="54">
        <f t="shared" si="194"/>
        <v>47881018.565884031</v>
      </c>
      <c r="Y79" s="54">
        <f t="shared" si="195"/>
        <v>47881018.565884031</v>
      </c>
      <c r="Z79" s="55">
        <f t="shared" si="239"/>
        <v>48217908.924213529</v>
      </c>
      <c r="AA79" s="55">
        <f t="shared" si="240"/>
        <v>48217908.924213529</v>
      </c>
      <c r="AB79" s="53">
        <f>D79*mmater*Parámetros!$G66*$X$5+AB78*(1+i_noc)</f>
        <v>0</v>
      </c>
      <c r="AC79" s="53">
        <f>E79*12*Parámetros!$F66*$X$5+AC78*(1+i_noc)</f>
        <v>857496.12921013136</v>
      </c>
      <c r="AD79" s="53"/>
      <c r="AE79" s="53"/>
      <c r="AF79" s="175"/>
      <c r="AG79" s="74">
        <f t="shared" si="186"/>
        <v>249562.18907357016</v>
      </c>
      <c r="AH79" s="52">
        <f t="shared" si="187"/>
        <v>222428.64055623682</v>
      </c>
      <c r="AI79" s="56">
        <f t="shared" si="227"/>
        <v>276353.26577123004</v>
      </c>
      <c r="AJ79" s="56">
        <f t="shared" si="228"/>
        <v>246306.86822774375</v>
      </c>
      <c r="AK79" s="56"/>
      <c r="AL79" s="56"/>
      <c r="AM79" s="56"/>
      <c r="AN79" s="56"/>
      <c r="AO79" s="56">
        <f t="shared" si="229"/>
        <v>0</v>
      </c>
      <c r="AP79" s="56">
        <f t="shared" si="230"/>
        <v>3689.6225788216511</v>
      </c>
      <c r="AQ79" s="53">
        <f t="shared" si="231"/>
        <v>0</v>
      </c>
      <c r="AR79" s="53">
        <f t="shared" si="232"/>
        <v>0</v>
      </c>
      <c r="AS79" s="39"/>
      <c r="AT79" s="68">
        <f t="shared" si="233"/>
        <v>25035.15968042265</v>
      </c>
      <c r="AU79" s="68">
        <f t="shared" si="234"/>
        <v>22313.222024924358</v>
      </c>
      <c r="AV79" s="68">
        <f t="shared" si="235"/>
        <v>251318.10609080741</v>
      </c>
      <c r="AW79" s="68">
        <f t="shared" si="188"/>
        <v>223993.64620281939</v>
      </c>
      <c r="AX79" s="39"/>
      <c r="AY79" s="39"/>
    </row>
    <row r="80" spans="1:51" x14ac:dyDescent="0.25">
      <c r="A80" s="30">
        <v>2045</v>
      </c>
      <c r="B80" s="33">
        <f>w_uf*UF*Parámetros!C67</f>
        <v>1116333.9195102497</v>
      </c>
      <c r="C80" s="30">
        <f t="shared" ref="C80:C111" si="247">IF(AND(A80-a_nac&lt;=110,A80-a_nac&gt;0),A80-a_nac,"")</f>
        <v>66</v>
      </c>
      <c r="D80" s="30">
        <f>((A80=Inputs!$C$12)*(Inputs!$D$12) + (A80=Inputs!$C$13)*(Inputs!$D$13) + (A80=Inputs!$C$14)*(Inputs!$D$14)) *(A80 &gt;= a_afil)*(A80&gt;=2024)</f>
        <v>0</v>
      </c>
      <c r="E80" s="30">
        <f>MIN(1,(A80=Inputs!$C$19)*Inputs!$D$19+(A80=Inputs!$C$20)*Inputs!$D$20+(A80=Inputs!$C$21)*Inputs!$D$21*(A80 &gt;= a_afil))</f>
        <v>0</v>
      </c>
      <c r="F80" s="30">
        <f t="shared" ref="F80:F111" si="248" xml:space="preserve"> (C80&lt;edad_ret_h) * (A80&gt;=a_afil)</f>
        <v>0</v>
      </c>
      <c r="G80" s="30">
        <f t="shared" ref="G80:G111" si="249" xml:space="preserve"> (C80&lt;edad_ret_m) * (A80&gt;=a_afil)</f>
        <v>0</v>
      </c>
      <c r="H80" s="30">
        <v>0.80066984891891479</v>
      </c>
      <c r="I80" s="37">
        <f t="shared" si="222"/>
        <v>0</v>
      </c>
      <c r="J80" s="37">
        <f t="shared" si="223"/>
        <v>0</v>
      </c>
      <c r="K80" s="30">
        <f>1*OR(Inputs!$D$17=$A80,Inputs!$E$17=$A80)*($E80=0)*(F80=1)</f>
        <v>0</v>
      </c>
      <c r="L80" s="30">
        <f>1*OR(Inputs!$D$17=$A80,Inputs!$E$17=$A80)*($E80=0)*(G80=1)</f>
        <v>0</v>
      </c>
      <c r="M80" s="73">
        <f t="shared" si="245"/>
        <v>0</v>
      </c>
      <c r="N80" s="73">
        <f t="shared" si="246"/>
        <v>0</v>
      </c>
      <c r="O80" s="55">
        <f>Parámetros!$E67*12*I80*$P$14</f>
        <v>0</v>
      </c>
      <c r="P80" s="55">
        <f>Parámetros!$E67*12*J80*$P$14</f>
        <v>0</v>
      </c>
      <c r="Q80" s="70">
        <f t="shared" si="225"/>
        <v>0</v>
      </c>
      <c r="R80" s="70">
        <f t="shared" si="226"/>
        <v>0</v>
      </c>
      <c r="S80" s="68">
        <f t="shared" si="243"/>
        <v>0</v>
      </c>
      <c r="T80" s="68">
        <f t="shared" si="244"/>
        <v>0</v>
      </c>
      <c r="U80" s="177"/>
      <c r="V80" s="68">
        <f t="shared" si="237"/>
        <v>0</v>
      </c>
      <c r="W80" s="68">
        <f t="shared" si="238"/>
        <v>0</v>
      </c>
      <c r="X80" s="54">
        <f t="shared" si="194"/>
        <v>0</v>
      </c>
      <c r="Y80" s="54">
        <f t="shared" si="195"/>
        <v>0</v>
      </c>
      <c r="Z80" s="55">
        <f t="shared" si="239"/>
        <v>0</v>
      </c>
      <c r="AA80" s="55">
        <f t="shared" si="240"/>
        <v>0</v>
      </c>
      <c r="AB80" s="53">
        <f>D80*mmater*Parámetros!$G67*$X$5+AB79*(1+i_noc)</f>
        <v>0</v>
      </c>
      <c r="AC80" s="53">
        <f>E80*12*Parámetros!$F67*$X$5+AC79*(1+i_noc)</f>
        <v>874646.05179433397</v>
      </c>
      <c r="AD80" s="53"/>
      <c r="AE80" s="53"/>
      <c r="AF80" s="175"/>
      <c r="AG80" s="74">
        <f t="shared" ref="AG80:AG111" si="250">($A80=D$9)*X80/(12*_xlfn.XLOOKUP(AG$15,sexo_cnu,cnu))</f>
        <v>0</v>
      </c>
      <c r="AH80" s="52">
        <f t="shared" ref="AH80:AH111" si="251">($A80=E$9)*Y80/(12*_xlfn.XLOOKUP(AH$15,sexo_cnu,cnu))</f>
        <v>0</v>
      </c>
      <c r="AI80" s="56">
        <f t="shared" si="227"/>
        <v>0</v>
      </c>
      <c r="AJ80" s="56">
        <f t="shared" si="228"/>
        <v>0</v>
      </c>
      <c r="AK80" s="56"/>
      <c r="AL80" s="56"/>
      <c r="AM80" s="56"/>
      <c r="AN80" s="56"/>
      <c r="AO80" s="56">
        <f t="shared" si="229"/>
        <v>0</v>
      </c>
      <c r="AP80" s="56">
        <f t="shared" si="230"/>
        <v>0</v>
      </c>
      <c r="AQ80" s="53">
        <f t="shared" si="231"/>
        <v>0</v>
      </c>
      <c r="AR80" s="53">
        <f t="shared" si="232"/>
        <v>0</v>
      </c>
      <c r="AS80" s="39"/>
      <c r="AT80" s="68">
        <f t="shared" si="233"/>
        <v>0</v>
      </c>
      <c r="AU80" s="68">
        <f t="shared" si="234"/>
        <v>0</v>
      </c>
      <c r="AV80" s="68">
        <f t="shared" si="235"/>
        <v>0</v>
      </c>
      <c r="AW80" s="68">
        <f t="shared" ref="AW80:AW111" si="252">IF($A80=a_nac+edad_ret_m,AA80/(12*_xlfn.XLOOKUP(AW$15,sexo_cnu,cnu)),0)</f>
        <v>0</v>
      </c>
      <c r="AX80" s="39"/>
      <c r="AY80" s="39"/>
    </row>
    <row r="81" spans="1:51" x14ac:dyDescent="0.25">
      <c r="A81" s="30">
        <v>2046</v>
      </c>
      <c r="B81" s="33">
        <f>w_uf*UF*Parámetros!C68</f>
        <v>1130288.0935041278</v>
      </c>
      <c r="C81" s="30">
        <f t="shared" si="247"/>
        <v>67</v>
      </c>
      <c r="D81" s="30">
        <f>((A81=Inputs!$C$12)*(Inputs!$D$12) + (A81=Inputs!$C$13)*(Inputs!$D$13) + (A81=Inputs!$C$14)*(Inputs!$D$14)) *(A81 &gt;= a_afil)*(A81&gt;=2024)</f>
        <v>0</v>
      </c>
      <c r="E81" s="30">
        <f>MIN(1,(A81=Inputs!$C$19)*Inputs!$D$19+(A81=Inputs!$C$20)*Inputs!$D$20+(A81=Inputs!$C$21)*Inputs!$D$21*(A81 &gt;= a_afil))</f>
        <v>0</v>
      </c>
      <c r="F81" s="30">
        <f t="shared" si="248"/>
        <v>0</v>
      </c>
      <c r="G81" s="30">
        <f t="shared" si="249"/>
        <v>0</v>
      </c>
      <c r="H81" s="30">
        <v>0.32520544528961182</v>
      </c>
      <c r="I81" s="37">
        <f t="shared" si="222"/>
        <v>0</v>
      </c>
      <c r="J81" s="37">
        <f t="shared" si="223"/>
        <v>0</v>
      </c>
      <c r="K81" s="30">
        <f>1*OR(Inputs!$D$17=$A81,Inputs!$E$17=$A81)*($E81=0)*(F81=1)</f>
        <v>0</v>
      </c>
      <c r="L81" s="30">
        <f>1*OR(Inputs!$D$17=$A81,Inputs!$E$17=$A81)*($E81=0)*(G81=1)</f>
        <v>0</v>
      </c>
      <c r="M81" s="73">
        <f t="shared" si="245"/>
        <v>0</v>
      </c>
      <c r="N81" s="73">
        <f t="shared" si="246"/>
        <v>0</v>
      </c>
      <c r="O81" s="55">
        <f>Parámetros!$E68*12*I81*$P$14</f>
        <v>0</v>
      </c>
      <c r="P81" s="55">
        <f>Parámetros!$E68*12*J81*$P$14</f>
        <v>0</v>
      </c>
      <c r="Q81" s="70">
        <f t="shared" si="225"/>
        <v>0</v>
      </c>
      <c r="R81" s="70">
        <f t="shared" si="226"/>
        <v>0</v>
      </c>
      <c r="S81" s="68">
        <f t="shared" si="243"/>
        <v>0</v>
      </c>
      <c r="T81" s="68">
        <f t="shared" si="244"/>
        <v>0</v>
      </c>
      <c r="U81" s="177"/>
      <c r="V81" s="68">
        <f t="shared" si="237"/>
        <v>0</v>
      </c>
      <c r="W81" s="68">
        <f t="shared" si="238"/>
        <v>0</v>
      </c>
      <c r="X81" s="54">
        <f t="shared" ref="X81:X112" si="253">F80*X80*(1+_xlfn.XLOOKUP(MIN(2024,$A80),agnos_rent,rent_base))+Q81</f>
        <v>0</v>
      </c>
      <c r="Y81" s="54">
        <f t="shared" ref="Y81:Y112" si="254">G80*Y80*(1+_xlfn.XLOOKUP(MIN(2024,$A80),agnos_rent,rent_base))+R81</f>
        <v>0</v>
      </c>
      <c r="Z81" s="55">
        <f t="shared" si="239"/>
        <v>0</v>
      </c>
      <c r="AA81" s="55">
        <f t="shared" si="240"/>
        <v>0</v>
      </c>
      <c r="AB81" s="53">
        <f>D81*mmater*Parámetros!$G68*$X$5+AB80*(1+i_noc)</f>
        <v>0</v>
      </c>
      <c r="AC81" s="53">
        <f>E81*12*Parámetros!$F68*$X$5+AC80*(1+i_noc)</f>
        <v>892138.97283022071</v>
      </c>
      <c r="AD81" s="53"/>
      <c r="AE81" s="53"/>
      <c r="AF81" s="175"/>
      <c r="AG81" s="74">
        <f t="shared" si="250"/>
        <v>0</v>
      </c>
      <c r="AH81" s="52">
        <f t="shared" si="251"/>
        <v>0</v>
      </c>
      <c r="AI81" s="56">
        <f t="shared" si="227"/>
        <v>0</v>
      </c>
      <c r="AJ81" s="56">
        <f t="shared" si="228"/>
        <v>0</v>
      </c>
      <c r="AK81" s="56"/>
      <c r="AL81" s="56"/>
      <c r="AM81" s="56"/>
      <c r="AN81" s="56"/>
      <c r="AO81" s="56">
        <f t="shared" si="229"/>
        <v>0</v>
      </c>
      <c r="AP81" s="56">
        <f t="shared" si="230"/>
        <v>0</v>
      </c>
      <c r="AQ81" s="53">
        <f t="shared" si="231"/>
        <v>0</v>
      </c>
      <c r="AR81" s="53">
        <f t="shared" si="232"/>
        <v>0</v>
      </c>
      <c r="AS81" s="39"/>
      <c r="AT81" s="68">
        <f t="shared" si="233"/>
        <v>0</v>
      </c>
      <c r="AU81" s="68">
        <f t="shared" si="234"/>
        <v>0</v>
      </c>
      <c r="AV81" s="68">
        <f t="shared" si="235"/>
        <v>0</v>
      </c>
      <c r="AW81" s="68">
        <f t="shared" si="252"/>
        <v>0</v>
      </c>
      <c r="AX81" s="39"/>
      <c r="AY81" s="39"/>
    </row>
    <row r="82" spans="1:51" x14ac:dyDescent="0.25">
      <c r="A82" s="30">
        <v>2047</v>
      </c>
      <c r="B82" s="33">
        <f>w_uf*UF*Parámetros!C69</f>
        <v>1144416.6946729294</v>
      </c>
      <c r="C82" s="30">
        <f t="shared" si="247"/>
        <v>68</v>
      </c>
      <c r="D82" s="30">
        <f>((A82=Inputs!$C$12)*(Inputs!$D$12) + (A82=Inputs!$C$13)*(Inputs!$D$13) + (A82=Inputs!$C$14)*(Inputs!$D$14)) *(A82 &gt;= a_afil)*(A82&gt;=2024)</f>
        <v>0</v>
      </c>
      <c r="E82" s="30">
        <f>MIN(1,(A82=Inputs!$C$19)*Inputs!$D$19+(A82=Inputs!$C$20)*Inputs!$D$20+(A82=Inputs!$C$21)*Inputs!$D$21*(A82 &gt;= a_afil))</f>
        <v>0</v>
      </c>
      <c r="F82" s="30">
        <f t="shared" si="248"/>
        <v>0</v>
      </c>
      <c r="G82" s="30">
        <f t="shared" si="249"/>
        <v>0</v>
      </c>
      <c r="H82" s="30">
        <v>0.97272902727127075</v>
      </c>
      <c r="I82" s="37">
        <f t="shared" si="222"/>
        <v>0</v>
      </c>
      <c r="J82" s="37">
        <f t="shared" si="223"/>
        <v>0</v>
      </c>
      <c r="K82" s="30">
        <f>1*OR(Inputs!$D$17=$A82,Inputs!$E$17=$A82)*($E82=0)*(F82=1)</f>
        <v>0</v>
      </c>
      <c r="L82" s="30">
        <f>1*OR(Inputs!$D$17=$A82,Inputs!$E$17=$A82)*($E82=0)*(G82=1)</f>
        <v>0</v>
      </c>
      <c r="M82" s="73">
        <f t="shared" si="245"/>
        <v>0</v>
      </c>
      <c r="N82" s="73">
        <f t="shared" si="246"/>
        <v>0</v>
      </c>
      <c r="O82" s="55">
        <f>Parámetros!$E69*12*I82*$P$14</f>
        <v>0</v>
      </c>
      <c r="P82" s="55">
        <f>Parámetros!$E69*12*J82*$P$14</f>
        <v>0</v>
      </c>
      <c r="Q82" s="70">
        <f t="shared" si="225"/>
        <v>0</v>
      </c>
      <c r="R82" s="70">
        <f t="shared" si="226"/>
        <v>0</v>
      </c>
      <c r="S82" s="68">
        <f t="shared" si="243"/>
        <v>0</v>
      </c>
      <c r="T82" s="68">
        <f t="shared" si="244"/>
        <v>0</v>
      </c>
      <c r="U82" s="177"/>
      <c r="V82" s="68">
        <f t="shared" si="237"/>
        <v>0</v>
      </c>
      <c r="W82" s="68">
        <f t="shared" si="238"/>
        <v>0</v>
      </c>
      <c r="X82" s="54">
        <f t="shared" si="253"/>
        <v>0</v>
      </c>
      <c r="Y82" s="54">
        <f t="shared" si="254"/>
        <v>0</v>
      </c>
      <c r="Z82" s="55">
        <f t="shared" si="239"/>
        <v>0</v>
      </c>
      <c r="AA82" s="55">
        <f t="shared" si="240"/>
        <v>0</v>
      </c>
      <c r="AB82" s="53">
        <f>D82*mmater*Parámetros!$G69*$X$5+AB81*(1+i_noc)</f>
        <v>0</v>
      </c>
      <c r="AC82" s="53">
        <f>E82*12*Parámetros!$F69*$X$5+AC81*(1+i_noc)</f>
        <v>909981.7522868251</v>
      </c>
      <c r="AD82" s="53"/>
      <c r="AE82" s="53"/>
      <c r="AF82" s="175"/>
      <c r="AG82" s="74">
        <f t="shared" si="250"/>
        <v>0</v>
      </c>
      <c r="AH82" s="52">
        <f t="shared" si="251"/>
        <v>0</v>
      </c>
      <c r="AI82" s="56">
        <f t="shared" si="227"/>
        <v>0</v>
      </c>
      <c r="AJ82" s="56">
        <f t="shared" si="228"/>
        <v>0</v>
      </c>
      <c r="AK82" s="56"/>
      <c r="AL82" s="56"/>
      <c r="AM82" s="56"/>
      <c r="AN82" s="56"/>
      <c r="AO82" s="56">
        <f t="shared" si="229"/>
        <v>0</v>
      </c>
      <c r="AP82" s="56">
        <f t="shared" si="230"/>
        <v>0</v>
      </c>
      <c r="AQ82" s="53">
        <f t="shared" si="231"/>
        <v>0</v>
      </c>
      <c r="AR82" s="53">
        <f t="shared" si="232"/>
        <v>0</v>
      </c>
      <c r="AS82" s="39"/>
      <c r="AT82" s="68">
        <f t="shared" si="233"/>
        <v>0</v>
      </c>
      <c r="AU82" s="68">
        <f t="shared" si="234"/>
        <v>0</v>
      </c>
      <c r="AV82" s="68">
        <f t="shared" si="235"/>
        <v>0</v>
      </c>
      <c r="AW82" s="68">
        <f t="shared" si="252"/>
        <v>0</v>
      </c>
      <c r="AX82" s="39"/>
      <c r="AY82" s="39"/>
    </row>
    <row r="83" spans="1:51" x14ac:dyDescent="0.25">
      <c r="A83" s="30">
        <v>2048</v>
      </c>
      <c r="B83" s="33">
        <f>w_uf*UF*Parámetros!C70</f>
        <v>1158721.9033563409</v>
      </c>
      <c r="C83" s="30">
        <f t="shared" si="247"/>
        <v>69</v>
      </c>
      <c r="D83" s="30">
        <f>((A83=Inputs!$C$12)*(Inputs!$D$12) + (A83=Inputs!$C$13)*(Inputs!$D$13) + (A83=Inputs!$C$14)*(Inputs!$D$14)) *(A83 &gt;= a_afil)*(A83&gt;=2024)</f>
        <v>0</v>
      </c>
      <c r="E83" s="30">
        <f>MIN(1,(A83=Inputs!$C$19)*Inputs!$D$19+(A83=Inputs!$C$20)*Inputs!$D$20+(A83=Inputs!$C$21)*Inputs!$D$21*(A83 &gt;= a_afil))</f>
        <v>0</v>
      </c>
      <c r="F83" s="30">
        <f t="shared" si="248"/>
        <v>0</v>
      </c>
      <c r="G83" s="30">
        <f t="shared" si="249"/>
        <v>0</v>
      </c>
      <c r="H83" s="30">
        <v>0.80426716804504395</v>
      </c>
      <c r="I83" s="37">
        <f t="shared" si="222"/>
        <v>0</v>
      </c>
      <c r="J83" s="37">
        <f t="shared" si="223"/>
        <v>0</v>
      </c>
      <c r="K83" s="30">
        <f>1*OR(Inputs!$D$17=$A83,Inputs!$E$17=$A83)*($E83=0)*(F83=1)</f>
        <v>0</v>
      </c>
      <c r="L83" s="30">
        <f>1*OR(Inputs!$D$17=$A83,Inputs!$E$17=$A83)*($E83=0)*(G83=1)</f>
        <v>0</v>
      </c>
      <c r="M83" s="73">
        <f t="shared" si="245"/>
        <v>0</v>
      </c>
      <c r="N83" s="73">
        <f t="shared" si="246"/>
        <v>0</v>
      </c>
      <c r="O83" s="55">
        <f>Parámetros!$E70*12*I83*$P$14</f>
        <v>0</v>
      </c>
      <c r="P83" s="55">
        <f>Parámetros!$E70*12*J83*$P$14</f>
        <v>0</v>
      </c>
      <c r="Q83" s="70">
        <f t="shared" si="225"/>
        <v>0</v>
      </c>
      <c r="R83" s="70">
        <f t="shared" si="226"/>
        <v>0</v>
      </c>
      <c r="S83" s="68">
        <f t="shared" si="243"/>
        <v>0</v>
      </c>
      <c r="T83" s="68">
        <f t="shared" si="244"/>
        <v>0</v>
      </c>
      <c r="U83" s="177"/>
      <c r="V83" s="68">
        <f t="shared" si="237"/>
        <v>0</v>
      </c>
      <c r="W83" s="68">
        <f t="shared" si="238"/>
        <v>0</v>
      </c>
      <c r="X83" s="54">
        <f t="shared" si="253"/>
        <v>0</v>
      </c>
      <c r="Y83" s="54">
        <f t="shared" si="254"/>
        <v>0</v>
      </c>
      <c r="Z83" s="55">
        <f t="shared" si="239"/>
        <v>0</v>
      </c>
      <c r="AA83" s="55">
        <f t="shared" si="240"/>
        <v>0</v>
      </c>
      <c r="AB83" s="53">
        <f>D83*mmater*Parámetros!$G70*$X$5+AB82*(1+i_noc)</f>
        <v>0</v>
      </c>
      <c r="AC83" s="53">
        <f>E83*12*Parámetros!$F70*$X$5+AC82*(1+i_noc)</f>
        <v>928181.38733256166</v>
      </c>
      <c r="AD83" s="53"/>
      <c r="AE83" s="53"/>
      <c r="AF83" s="175"/>
      <c r="AG83" s="74">
        <f t="shared" si="250"/>
        <v>0</v>
      </c>
      <c r="AH83" s="52">
        <f t="shared" si="251"/>
        <v>0</v>
      </c>
      <c r="AI83" s="56">
        <f t="shared" si="227"/>
        <v>0</v>
      </c>
      <c r="AJ83" s="56">
        <f t="shared" si="228"/>
        <v>0</v>
      </c>
      <c r="AK83" s="56"/>
      <c r="AL83" s="56"/>
      <c r="AM83" s="56"/>
      <c r="AN83" s="56"/>
      <c r="AO83" s="56">
        <f t="shared" si="229"/>
        <v>0</v>
      </c>
      <c r="AP83" s="56">
        <f t="shared" si="230"/>
        <v>0</v>
      </c>
      <c r="AQ83" s="53">
        <f t="shared" si="231"/>
        <v>0</v>
      </c>
      <c r="AR83" s="53">
        <f t="shared" si="232"/>
        <v>0</v>
      </c>
      <c r="AS83" s="39"/>
      <c r="AT83" s="68">
        <f t="shared" si="233"/>
        <v>0</v>
      </c>
      <c r="AU83" s="68">
        <f t="shared" si="234"/>
        <v>0</v>
      </c>
      <c r="AV83" s="68">
        <f t="shared" si="235"/>
        <v>0</v>
      </c>
      <c r="AW83" s="68">
        <f t="shared" si="252"/>
        <v>0</v>
      </c>
      <c r="AX83" s="39"/>
      <c r="AY83" s="39"/>
    </row>
    <row r="84" spans="1:51" x14ac:dyDescent="0.25">
      <c r="A84" s="30">
        <v>2049</v>
      </c>
      <c r="B84" s="33">
        <f>w_uf*UF*Parámetros!C71</f>
        <v>1173205.9271482951</v>
      </c>
      <c r="C84" s="30">
        <f t="shared" si="247"/>
        <v>70</v>
      </c>
      <c r="D84" s="30">
        <f>((A84=Inputs!$C$12)*(Inputs!$D$12) + (A84=Inputs!$C$13)*(Inputs!$D$13) + (A84=Inputs!$C$14)*(Inputs!$D$14)) *(A84 &gt;= a_afil)*(A84&gt;=2024)</f>
        <v>0</v>
      </c>
      <c r="E84" s="30">
        <f>MIN(1,(A84=Inputs!$C$19)*Inputs!$D$19+(A84=Inputs!$C$20)*Inputs!$D$20+(A84=Inputs!$C$21)*Inputs!$D$21*(A84 &gt;= a_afil))</f>
        <v>0</v>
      </c>
      <c r="F84" s="30">
        <f t="shared" si="248"/>
        <v>0</v>
      </c>
      <c r="G84" s="30">
        <f t="shared" si="249"/>
        <v>0</v>
      </c>
      <c r="H84" s="30">
        <v>0.67482608556747437</v>
      </c>
      <c r="I84" s="37">
        <f t="shared" si="222"/>
        <v>0</v>
      </c>
      <c r="J84" s="37">
        <f t="shared" si="223"/>
        <v>0</v>
      </c>
      <c r="K84" s="30">
        <f>1*OR(Inputs!$D$17=$A84,Inputs!$E$17=$A84)*($E84=0)*(F84=1)</f>
        <v>0</v>
      </c>
      <c r="L84" s="30">
        <f>1*OR(Inputs!$D$17=$A84,Inputs!$E$17=$A84)*($E84=0)*(G84=1)</f>
        <v>0</v>
      </c>
      <c r="M84" s="73">
        <f t="shared" si="245"/>
        <v>0</v>
      </c>
      <c r="N84" s="73">
        <f t="shared" si="246"/>
        <v>0</v>
      </c>
      <c r="O84" s="55">
        <f>Parámetros!$E71*12*I84*$P$14</f>
        <v>0</v>
      </c>
      <c r="P84" s="55">
        <f>Parámetros!$E71*12*J84*$P$14</f>
        <v>0</v>
      </c>
      <c r="Q84" s="70">
        <f t="shared" si="225"/>
        <v>0</v>
      </c>
      <c r="R84" s="70">
        <f t="shared" si="226"/>
        <v>0</v>
      </c>
      <c r="S84" s="68">
        <f t="shared" si="243"/>
        <v>0</v>
      </c>
      <c r="T84" s="68">
        <f t="shared" si="244"/>
        <v>0</v>
      </c>
      <c r="U84" s="177"/>
      <c r="V84" s="68">
        <f t="shared" si="237"/>
        <v>0</v>
      </c>
      <c r="W84" s="68">
        <f t="shared" si="238"/>
        <v>0</v>
      </c>
      <c r="X84" s="54">
        <f t="shared" si="253"/>
        <v>0</v>
      </c>
      <c r="Y84" s="54">
        <f t="shared" si="254"/>
        <v>0</v>
      </c>
      <c r="Z84" s="55">
        <f t="shared" si="239"/>
        <v>0</v>
      </c>
      <c r="AA84" s="55">
        <f t="shared" si="240"/>
        <v>0</v>
      </c>
      <c r="AB84" s="53">
        <f>D84*mmater*Parámetros!$G71*$X$5+AB83*(1+i_noc)</f>
        <v>0</v>
      </c>
      <c r="AC84" s="53">
        <f>E84*12*Parámetros!$F71*$X$5+AC83*(1+i_noc)</f>
        <v>946745.01507921296</v>
      </c>
      <c r="AD84" s="53"/>
      <c r="AE84" s="53"/>
      <c r="AF84" s="175"/>
      <c r="AG84" s="74">
        <f t="shared" si="250"/>
        <v>0</v>
      </c>
      <c r="AH84" s="52">
        <f t="shared" si="251"/>
        <v>0</v>
      </c>
      <c r="AI84" s="56">
        <f t="shared" si="227"/>
        <v>0</v>
      </c>
      <c r="AJ84" s="56">
        <f t="shared" si="228"/>
        <v>0</v>
      </c>
      <c r="AK84" s="56"/>
      <c r="AL84" s="56"/>
      <c r="AM84" s="56"/>
      <c r="AN84" s="56"/>
      <c r="AO84" s="56">
        <f t="shared" si="229"/>
        <v>0</v>
      </c>
      <c r="AP84" s="56">
        <f t="shared" si="230"/>
        <v>0</v>
      </c>
      <c r="AQ84" s="53">
        <f t="shared" si="231"/>
        <v>0</v>
      </c>
      <c r="AR84" s="53">
        <f t="shared" si="232"/>
        <v>0</v>
      </c>
      <c r="AS84" s="39"/>
      <c r="AT84" s="68">
        <f t="shared" si="233"/>
        <v>0</v>
      </c>
      <c r="AU84" s="68">
        <f t="shared" si="234"/>
        <v>0</v>
      </c>
      <c r="AV84" s="68">
        <f t="shared" si="235"/>
        <v>0</v>
      </c>
      <c r="AW84" s="68">
        <f t="shared" si="252"/>
        <v>0</v>
      </c>
      <c r="AX84" s="39"/>
      <c r="AY84" s="39"/>
    </row>
    <row r="85" spans="1:51" x14ac:dyDescent="0.25">
      <c r="A85" s="30">
        <v>2050</v>
      </c>
      <c r="B85" s="33">
        <f>w_uf*UF*Parámetros!C72</f>
        <v>1187871.0012376488</v>
      </c>
      <c r="C85" s="30">
        <f t="shared" si="247"/>
        <v>71</v>
      </c>
      <c r="D85" s="30">
        <f>((A85=Inputs!$C$12)*(Inputs!$D$12) + (A85=Inputs!$C$13)*(Inputs!$D$13) + (A85=Inputs!$C$14)*(Inputs!$D$14)) *(A85 &gt;= a_afil)*(A85&gt;=2024)</f>
        <v>0</v>
      </c>
      <c r="E85" s="30">
        <f>MIN(1,(A85=Inputs!$C$19)*Inputs!$D$19+(A85=Inputs!$C$20)*Inputs!$D$20+(A85=Inputs!$C$21)*Inputs!$D$21*(A85 &gt;= a_afil))</f>
        <v>0</v>
      </c>
      <c r="F85" s="30">
        <f t="shared" si="248"/>
        <v>0</v>
      </c>
      <c r="G85" s="30">
        <f t="shared" si="249"/>
        <v>0</v>
      </c>
      <c r="H85" s="30">
        <v>0.90512931346893311</v>
      </c>
      <c r="I85" s="37">
        <f t="shared" si="222"/>
        <v>0</v>
      </c>
      <c r="J85" s="37">
        <f t="shared" si="223"/>
        <v>0</v>
      </c>
      <c r="K85" s="30">
        <f>1*OR(Inputs!$D$17=$A85,Inputs!$E$17=$A85)*($E85=0)*(F85=1)</f>
        <v>0</v>
      </c>
      <c r="L85" s="30">
        <f>1*OR(Inputs!$D$17=$A85,Inputs!$E$17=$A85)*($E85=0)*(G85=1)</f>
        <v>0</v>
      </c>
      <c r="M85" s="73">
        <f t="shared" si="245"/>
        <v>0</v>
      </c>
      <c r="N85" s="73">
        <f t="shared" si="246"/>
        <v>0</v>
      </c>
      <c r="O85" s="55">
        <f>Parámetros!$E72*12*I85*$P$14</f>
        <v>0</v>
      </c>
      <c r="P85" s="55">
        <f>Parámetros!$E72*12*J85*$P$14</f>
        <v>0</v>
      </c>
      <c r="Q85" s="70">
        <f t="shared" si="225"/>
        <v>0</v>
      </c>
      <c r="R85" s="70">
        <f t="shared" si="226"/>
        <v>0</v>
      </c>
      <c r="S85" s="68">
        <f t="shared" si="243"/>
        <v>0</v>
      </c>
      <c r="T85" s="68">
        <f t="shared" si="244"/>
        <v>0</v>
      </c>
      <c r="U85" s="177"/>
      <c r="V85" s="68">
        <f t="shared" si="237"/>
        <v>0</v>
      </c>
      <c r="W85" s="68">
        <f t="shared" si="238"/>
        <v>0</v>
      </c>
      <c r="X85" s="54">
        <f t="shared" si="253"/>
        <v>0</v>
      </c>
      <c r="Y85" s="54">
        <f t="shared" si="254"/>
        <v>0</v>
      </c>
      <c r="Z85" s="55">
        <f t="shared" si="239"/>
        <v>0</v>
      </c>
      <c r="AA85" s="55">
        <f t="shared" si="240"/>
        <v>0</v>
      </c>
      <c r="AB85" s="53">
        <f>D85*mmater*Parámetros!$G72*$X$5+AB84*(1+i_noc)</f>
        <v>0</v>
      </c>
      <c r="AC85" s="53">
        <f>E85*12*Parámetros!$F72*$X$5+AC84*(1+i_noc)</f>
        <v>965679.91538079723</v>
      </c>
      <c r="AD85" s="53"/>
      <c r="AE85" s="53"/>
      <c r="AF85" s="175"/>
      <c r="AG85" s="74">
        <f t="shared" si="250"/>
        <v>0</v>
      </c>
      <c r="AH85" s="52">
        <f t="shared" si="251"/>
        <v>0</v>
      </c>
      <c r="AI85" s="56">
        <f t="shared" si="227"/>
        <v>0</v>
      </c>
      <c r="AJ85" s="56">
        <f t="shared" si="228"/>
        <v>0</v>
      </c>
      <c r="AK85" s="56"/>
      <c r="AL85" s="56"/>
      <c r="AM85" s="56"/>
      <c r="AN85" s="56"/>
      <c r="AO85" s="56">
        <f t="shared" si="229"/>
        <v>0</v>
      </c>
      <c r="AP85" s="56">
        <f t="shared" si="230"/>
        <v>0</v>
      </c>
      <c r="AQ85" s="53">
        <f t="shared" si="231"/>
        <v>0</v>
      </c>
      <c r="AR85" s="53">
        <f t="shared" si="232"/>
        <v>0</v>
      </c>
      <c r="AS85" s="39"/>
      <c r="AT85" s="68">
        <f t="shared" si="233"/>
        <v>0</v>
      </c>
      <c r="AU85" s="68">
        <f t="shared" si="234"/>
        <v>0</v>
      </c>
      <c r="AV85" s="68">
        <f t="shared" si="235"/>
        <v>0</v>
      </c>
      <c r="AW85" s="68">
        <f t="shared" si="252"/>
        <v>0</v>
      </c>
      <c r="AX85" s="39"/>
      <c r="AY85" s="39"/>
    </row>
    <row r="86" spans="1:51" x14ac:dyDescent="0.25">
      <c r="A86" s="30">
        <v>2051</v>
      </c>
      <c r="B86" s="33">
        <f>w_uf*UF*Parámetros!C73</f>
        <v>1202719.3887531192</v>
      </c>
      <c r="C86" s="30">
        <f t="shared" si="247"/>
        <v>72</v>
      </c>
      <c r="D86" s="30">
        <f>((A86=Inputs!$C$12)*(Inputs!$D$12) + (A86=Inputs!$C$13)*(Inputs!$D$13) + (A86=Inputs!$C$14)*(Inputs!$D$14)) *(A86 &gt;= a_afil)*(A86&gt;=2024)</f>
        <v>0</v>
      </c>
      <c r="E86" s="30">
        <f>MIN(1,(A86=Inputs!$C$19)*Inputs!$D$19+(A86=Inputs!$C$20)*Inputs!$D$20+(A86=Inputs!$C$21)*Inputs!$D$21*(A86 &gt;= a_afil))</f>
        <v>0</v>
      </c>
      <c r="F86" s="30">
        <f t="shared" si="248"/>
        <v>0</v>
      </c>
      <c r="G86" s="30">
        <f t="shared" si="249"/>
        <v>0</v>
      </c>
      <c r="H86" s="30">
        <v>0.87577968835830688</v>
      </c>
      <c r="I86" s="37">
        <f t="shared" si="222"/>
        <v>0</v>
      </c>
      <c r="J86" s="37">
        <f t="shared" si="223"/>
        <v>0</v>
      </c>
      <c r="K86" s="30">
        <f>1*OR(Inputs!$D$17=$A86,Inputs!$E$17=$A86)*($E86=0)*(F86=1)</f>
        <v>0</v>
      </c>
      <c r="L86" s="30">
        <f>1*OR(Inputs!$D$17=$A86,Inputs!$E$17=$A86)*($E86=0)*(G86=1)</f>
        <v>0</v>
      </c>
      <c r="M86" s="73">
        <f t="shared" si="245"/>
        <v>0</v>
      </c>
      <c r="N86" s="73">
        <f t="shared" si="246"/>
        <v>0</v>
      </c>
      <c r="O86" s="55">
        <f>Parámetros!$E73*12*I86*$P$14</f>
        <v>0</v>
      </c>
      <c r="P86" s="55">
        <f>Parámetros!$E73*12*J86*$P$14</f>
        <v>0</v>
      </c>
      <c r="Q86" s="70">
        <f t="shared" si="225"/>
        <v>0</v>
      </c>
      <c r="R86" s="70">
        <f t="shared" si="226"/>
        <v>0</v>
      </c>
      <c r="S86" s="68">
        <f t="shared" si="243"/>
        <v>0</v>
      </c>
      <c r="T86" s="68">
        <f t="shared" si="244"/>
        <v>0</v>
      </c>
      <c r="U86" s="177"/>
      <c r="V86" s="68">
        <f t="shared" si="237"/>
        <v>0</v>
      </c>
      <c r="W86" s="68">
        <f t="shared" si="238"/>
        <v>0</v>
      </c>
      <c r="X86" s="54">
        <f t="shared" si="253"/>
        <v>0</v>
      </c>
      <c r="Y86" s="54">
        <f t="shared" si="254"/>
        <v>0</v>
      </c>
      <c r="Z86" s="55">
        <f t="shared" si="239"/>
        <v>0</v>
      </c>
      <c r="AA86" s="55">
        <f t="shared" si="240"/>
        <v>0</v>
      </c>
      <c r="AB86" s="53">
        <f>D86*mmater*Parámetros!$G73*$X$5+AB85*(1+i_noc)</f>
        <v>0</v>
      </c>
      <c r="AC86" s="53">
        <f>E86*12*Parámetros!$F73*$X$5+AC85*(1+i_noc)</f>
        <v>984993.51368841319</v>
      </c>
      <c r="AD86" s="53"/>
      <c r="AE86" s="53"/>
      <c r="AF86" s="175"/>
      <c r="AG86" s="74">
        <f t="shared" si="250"/>
        <v>0</v>
      </c>
      <c r="AH86" s="52">
        <f t="shared" si="251"/>
        <v>0</v>
      </c>
      <c r="AI86" s="56">
        <f t="shared" si="227"/>
        <v>0</v>
      </c>
      <c r="AJ86" s="56">
        <f t="shared" si="228"/>
        <v>0</v>
      </c>
      <c r="AK86" s="56"/>
      <c r="AL86" s="56"/>
      <c r="AM86" s="56"/>
      <c r="AN86" s="56"/>
      <c r="AO86" s="56">
        <f t="shared" si="229"/>
        <v>0</v>
      </c>
      <c r="AP86" s="56">
        <f t="shared" si="230"/>
        <v>0</v>
      </c>
      <c r="AQ86" s="53">
        <f t="shared" si="231"/>
        <v>0</v>
      </c>
      <c r="AR86" s="53">
        <f t="shared" si="232"/>
        <v>0</v>
      </c>
      <c r="AS86" s="39"/>
      <c r="AT86" s="68">
        <f t="shared" si="233"/>
        <v>0</v>
      </c>
      <c r="AU86" s="68">
        <f t="shared" si="234"/>
        <v>0</v>
      </c>
      <c r="AV86" s="68">
        <f t="shared" si="235"/>
        <v>0</v>
      </c>
      <c r="AW86" s="68">
        <f t="shared" si="252"/>
        <v>0</v>
      </c>
      <c r="AX86" s="39"/>
      <c r="AY86" s="39"/>
    </row>
    <row r="87" spans="1:51" x14ac:dyDescent="0.25">
      <c r="A87" s="30">
        <v>2052</v>
      </c>
      <c r="B87" s="33">
        <f>w_uf*UF*Parámetros!C74</f>
        <v>1217753.3811125332</v>
      </c>
      <c r="C87" s="30">
        <f t="shared" si="247"/>
        <v>73</v>
      </c>
      <c r="D87" s="30">
        <f>((A87=Inputs!$C$12)*(Inputs!$D$12) + (A87=Inputs!$C$13)*(Inputs!$D$13) + (A87=Inputs!$C$14)*(Inputs!$D$14)) *(A87 &gt;= a_afil)*(A87&gt;=2024)</f>
        <v>0</v>
      </c>
      <c r="E87" s="30">
        <f>MIN(1,(A87=Inputs!$C$19)*Inputs!$D$19+(A87=Inputs!$C$20)*Inputs!$D$20+(A87=Inputs!$C$21)*Inputs!$D$21*(A87 &gt;= a_afil))</f>
        <v>0</v>
      </c>
      <c r="F87" s="30">
        <f t="shared" si="248"/>
        <v>0</v>
      </c>
      <c r="G87" s="30">
        <f t="shared" si="249"/>
        <v>0</v>
      </c>
      <c r="H87" s="30">
        <v>0.41664838790893555</v>
      </c>
      <c r="I87" s="37">
        <f t="shared" si="222"/>
        <v>0</v>
      </c>
      <c r="J87" s="37">
        <f t="shared" si="223"/>
        <v>0</v>
      </c>
      <c r="K87" s="30">
        <f>1*OR(Inputs!$D$17=$A87,Inputs!$E$17=$A87)*($E87=0)*(F87=1)</f>
        <v>0</v>
      </c>
      <c r="L87" s="30">
        <f>1*OR(Inputs!$D$17=$A87,Inputs!$E$17=$A87)*($E87=0)*(G87=1)</f>
        <v>0</v>
      </c>
      <c r="M87" s="73">
        <f t="shared" si="245"/>
        <v>0</v>
      </c>
      <c r="N87" s="73">
        <f t="shared" si="246"/>
        <v>0</v>
      </c>
      <c r="O87" s="55">
        <f>Parámetros!$E74*12*I87*$P$14</f>
        <v>0</v>
      </c>
      <c r="P87" s="55">
        <f>Parámetros!$E74*12*J87*$P$14</f>
        <v>0</v>
      </c>
      <c r="Q87" s="70">
        <f t="shared" si="225"/>
        <v>0</v>
      </c>
      <c r="R87" s="70">
        <f t="shared" si="226"/>
        <v>0</v>
      </c>
      <c r="S87" s="68">
        <f t="shared" si="243"/>
        <v>0</v>
      </c>
      <c r="T87" s="68">
        <f t="shared" si="244"/>
        <v>0</v>
      </c>
      <c r="U87" s="177"/>
      <c r="V87" s="68">
        <f t="shared" si="237"/>
        <v>0</v>
      </c>
      <c r="W87" s="68">
        <f t="shared" si="238"/>
        <v>0</v>
      </c>
      <c r="X87" s="54">
        <f t="shared" si="253"/>
        <v>0</v>
      </c>
      <c r="Y87" s="54">
        <f t="shared" si="254"/>
        <v>0</v>
      </c>
      <c r="Z87" s="55">
        <f t="shared" si="239"/>
        <v>0</v>
      </c>
      <c r="AA87" s="55">
        <f t="shared" si="240"/>
        <v>0</v>
      </c>
      <c r="AB87" s="53">
        <f>D87*mmater*Parámetros!$G74*$X$5+AB86*(1+i_noc)</f>
        <v>0</v>
      </c>
      <c r="AC87" s="53">
        <f>E87*12*Parámetros!$F74*$X$5+AC86*(1+i_noc)</f>
        <v>1004693.3839621815</v>
      </c>
      <c r="AD87" s="53"/>
      <c r="AE87" s="53"/>
      <c r="AF87" s="175"/>
      <c r="AG87" s="74">
        <f t="shared" si="250"/>
        <v>0</v>
      </c>
      <c r="AH87" s="52">
        <f t="shared" si="251"/>
        <v>0</v>
      </c>
      <c r="AI87" s="56">
        <f t="shared" si="227"/>
        <v>0</v>
      </c>
      <c r="AJ87" s="56">
        <f t="shared" si="228"/>
        <v>0</v>
      </c>
      <c r="AK87" s="56"/>
      <c r="AL87" s="56"/>
      <c r="AM87" s="56"/>
      <c r="AN87" s="56"/>
      <c r="AO87" s="56">
        <f t="shared" si="229"/>
        <v>0</v>
      </c>
      <c r="AP87" s="56">
        <f t="shared" si="230"/>
        <v>0</v>
      </c>
      <c r="AQ87" s="53">
        <f t="shared" si="231"/>
        <v>0</v>
      </c>
      <c r="AR87" s="53">
        <f t="shared" si="232"/>
        <v>0</v>
      </c>
      <c r="AS87" s="39"/>
      <c r="AT87" s="68">
        <f t="shared" si="233"/>
        <v>0</v>
      </c>
      <c r="AU87" s="68">
        <f t="shared" si="234"/>
        <v>0</v>
      </c>
      <c r="AV87" s="68">
        <f t="shared" si="235"/>
        <v>0</v>
      </c>
      <c r="AW87" s="68">
        <f t="shared" si="252"/>
        <v>0</v>
      </c>
      <c r="AX87" s="39"/>
      <c r="AY87" s="39"/>
    </row>
    <row r="88" spans="1:51" x14ac:dyDescent="0.25">
      <c r="A88" s="30">
        <v>2053</v>
      </c>
      <c r="B88" s="33">
        <f>w_uf*UF*Parámetros!C75</f>
        <v>1232975.2983764398</v>
      </c>
      <c r="C88" s="30">
        <f t="shared" si="247"/>
        <v>74</v>
      </c>
      <c r="D88" s="30">
        <f>((A88=Inputs!$C$12)*(Inputs!$D$12) + (A88=Inputs!$C$13)*(Inputs!$D$13) + (A88=Inputs!$C$14)*(Inputs!$D$14)) *(A88 &gt;= a_afil)*(A88&gt;=2024)</f>
        <v>0</v>
      </c>
      <c r="E88" s="30">
        <f>MIN(1,(A88=Inputs!$C$19)*Inputs!$D$19+(A88=Inputs!$C$20)*Inputs!$D$20+(A88=Inputs!$C$21)*Inputs!$D$21*(A88 &gt;= a_afil))</f>
        <v>0</v>
      </c>
      <c r="F88" s="30">
        <f t="shared" si="248"/>
        <v>0</v>
      </c>
      <c r="G88" s="30">
        <f t="shared" si="249"/>
        <v>0</v>
      </c>
      <c r="H88" s="30">
        <v>0.12308281660079956</v>
      </c>
      <c r="I88" s="37">
        <f t="shared" si="222"/>
        <v>0</v>
      </c>
      <c r="J88" s="37">
        <f t="shared" si="223"/>
        <v>0</v>
      </c>
      <c r="K88" s="30">
        <f>1*OR(Inputs!$D$17=$A88,Inputs!$E$17=$A88)*($E88=0)*(F88=1)</f>
        <v>0</v>
      </c>
      <c r="L88" s="30">
        <f>1*OR(Inputs!$D$17=$A88,Inputs!$E$17=$A88)*($E88=0)*(G88=1)</f>
        <v>0</v>
      </c>
      <c r="M88" s="73">
        <f t="shared" si="245"/>
        <v>0</v>
      </c>
      <c r="N88" s="73">
        <f t="shared" si="246"/>
        <v>0</v>
      </c>
      <c r="O88" s="55">
        <f>Parámetros!$E75*12*I88*$P$14</f>
        <v>0</v>
      </c>
      <c r="P88" s="55">
        <f>Parámetros!$E75*12*J88*$P$14</f>
        <v>0</v>
      </c>
      <c r="Q88" s="70">
        <f t="shared" si="225"/>
        <v>0</v>
      </c>
      <c r="R88" s="70">
        <f t="shared" si="226"/>
        <v>0</v>
      </c>
      <c r="S88" s="68">
        <f t="shared" si="243"/>
        <v>0</v>
      </c>
      <c r="T88" s="68">
        <f t="shared" si="244"/>
        <v>0</v>
      </c>
      <c r="U88" s="177"/>
      <c r="V88" s="68">
        <f t="shared" si="237"/>
        <v>0</v>
      </c>
      <c r="W88" s="68">
        <f t="shared" si="238"/>
        <v>0</v>
      </c>
      <c r="X88" s="54">
        <f t="shared" si="253"/>
        <v>0</v>
      </c>
      <c r="Y88" s="54">
        <f t="shared" si="254"/>
        <v>0</v>
      </c>
      <c r="Z88" s="55">
        <f t="shared" si="239"/>
        <v>0</v>
      </c>
      <c r="AA88" s="55">
        <f t="shared" si="240"/>
        <v>0</v>
      </c>
      <c r="AB88" s="53">
        <f>D88*mmater*Parámetros!$G75*$X$5+AB87*(1+i_noc)</f>
        <v>0</v>
      </c>
      <c r="AC88" s="53">
        <f>E88*12*Parámetros!$F75*$X$5+AC87*(1+i_noc)</f>
        <v>1024787.2516414252</v>
      </c>
      <c r="AD88" s="53"/>
      <c r="AE88" s="53"/>
      <c r="AF88" s="175"/>
      <c r="AG88" s="74">
        <f t="shared" si="250"/>
        <v>0</v>
      </c>
      <c r="AH88" s="52">
        <f t="shared" si="251"/>
        <v>0</v>
      </c>
      <c r="AI88" s="56">
        <f t="shared" si="227"/>
        <v>0</v>
      </c>
      <c r="AJ88" s="56">
        <f t="shared" si="228"/>
        <v>0</v>
      </c>
      <c r="AK88" s="56"/>
      <c r="AL88" s="56"/>
      <c r="AM88" s="56"/>
      <c r="AN88" s="56"/>
      <c r="AO88" s="56">
        <f t="shared" si="229"/>
        <v>0</v>
      </c>
      <c r="AP88" s="56">
        <f t="shared" si="230"/>
        <v>0</v>
      </c>
      <c r="AQ88" s="53">
        <f t="shared" si="231"/>
        <v>0</v>
      </c>
      <c r="AR88" s="53">
        <f t="shared" si="232"/>
        <v>0</v>
      </c>
      <c r="AS88" s="39"/>
      <c r="AT88" s="68">
        <f t="shared" si="233"/>
        <v>0</v>
      </c>
      <c r="AU88" s="68">
        <f t="shared" si="234"/>
        <v>0</v>
      </c>
      <c r="AV88" s="68">
        <f t="shared" si="235"/>
        <v>0</v>
      </c>
      <c r="AW88" s="68">
        <f t="shared" si="252"/>
        <v>0</v>
      </c>
      <c r="AX88" s="39"/>
      <c r="AY88" s="39"/>
    </row>
    <row r="89" spans="1:51" x14ac:dyDescent="0.25">
      <c r="A89" s="30">
        <v>2054</v>
      </c>
      <c r="B89" s="33">
        <f>w_uf*UF*Parámetros!C76</f>
        <v>1248387.4896061453</v>
      </c>
      <c r="C89" s="30">
        <f t="shared" si="247"/>
        <v>75</v>
      </c>
      <c r="D89" s="30">
        <f>((A89=Inputs!$C$12)*(Inputs!$D$12) + (A89=Inputs!$C$13)*(Inputs!$D$13) + (A89=Inputs!$C$14)*(Inputs!$D$14)) *(A89 &gt;= a_afil)*(A89&gt;=2024)</f>
        <v>0</v>
      </c>
      <c r="E89" s="30">
        <f>MIN(1,(A89=Inputs!$C$19)*Inputs!$D$19+(A89=Inputs!$C$20)*Inputs!$D$20+(A89=Inputs!$C$21)*Inputs!$D$21*(A89 &gt;= a_afil))</f>
        <v>0</v>
      </c>
      <c r="F89" s="30">
        <f t="shared" si="248"/>
        <v>0</v>
      </c>
      <c r="G89" s="30">
        <f t="shared" si="249"/>
        <v>0</v>
      </c>
      <c r="H89" s="30">
        <v>0.95415794849395752</v>
      </c>
      <c r="I89" s="37">
        <f t="shared" si="222"/>
        <v>0</v>
      </c>
      <c r="J89" s="37">
        <f t="shared" si="223"/>
        <v>0</v>
      </c>
      <c r="K89" s="30">
        <f>1*OR(Inputs!$D$17=$A89,Inputs!$E$17=$A89)*($E89=0)*(F89=1)</f>
        <v>0</v>
      </c>
      <c r="L89" s="30">
        <f>1*OR(Inputs!$D$17=$A89,Inputs!$E$17=$A89)*($E89=0)*(G89=1)</f>
        <v>0</v>
      </c>
      <c r="M89" s="73">
        <f t="shared" si="245"/>
        <v>0</v>
      </c>
      <c r="N89" s="73">
        <f t="shared" si="246"/>
        <v>0</v>
      </c>
      <c r="O89" s="55">
        <f>Parámetros!$E76*12*I89*$P$14</f>
        <v>0</v>
      </c>
      <c r="P89" s="55">
        <f>Parámetros!$E76*12*J89*$P$14</f>
        <v>0</v>
      </c>
      <c r="Q89" s="70">
        <f t="shared" si="225"/>
        <v>0</v>
      </c>
      <c r="R89" s="70">
        <f t="shared" si="226"/>
        <v>0</v>
      </c>
      <c r="S89" s="68">
        <f t="shared" si="243"/>
        <v>0</v>
      </c>
      <c r="T89" s="68">
        <f t="shared" si="244"/>
        <v>0</v>
      </c>
      <c r="U89" s="177"/>
      <c r="V89" s="68">
        <f t="shared" si="237"/>
        <v>0</v>
      </c>
      <c r="W89" s="68">
        <f t="shared" si="238"/>
        <v>0</v>
      </c>
      <c r="X89" s="54">
        <f t="shared" si="253"/>
        <v>0</v>
      </c>
      <c r="Y89" s="54">
        <f t="shared" si="254"/>
        <v>0</v>
      </c>
      <c r="Z89" s="55">
        <f t="shared" si="239"/>
        <v>0</v>
      </c>
      <c r="AA89" s="55">
        <f t="shared" si="240"/>
        <v>0</v>
      </c>
      <c r="AB89" s="53">
        <f>D89*mmater*Parámetros!$G76*$X$5+AB88*(1+i_noc)</f>
        <v>0</v>
      </c>
      <c r="AC89" s="53">
        <f>E89*12*Parámetros!$F76*$X$5+AC88*(1+i_noc)</f>
        <v>1045282.9966742537</v>
      </c>
      <c r="AD89" s="53"/>
      <c r="AE89" s="53"/>
      <c r="AF89" s="175"/>
      <c r="AG89" s="74">
        <f t="shared" si="250"/>
        <v>0</v>
      </c>
      <c r="AH89" s="52">
        <f t="shared" si="251"/>
        <v>0</v>
      </c>
      <c r="AI89" s="56">
        <f t="shared" si="227"/>
        <v>0</v>
      </c>
      <c r="AJ89" s="56">
        <f t="shared" si="228"/>
        <v>0</v>
      </c>
      <c r="AK89" s="56"/>
      <c r="AL89" s="56"/>
      <c r="AM89" s="56"/>
      <c r="AN89" s="56"/>
      <c r="AO89" s="56">
        <f t="shared" si="229"/>
        <v>0</v>
      </c>
      <c r="AP89" s="56">
        <f t="shared" si="230"/>
        <v>0</v>
      </c>
      <c r="AQ89" s="53">
        <f t="shared" si="231"/>
        <v>0</v>
      </c>
      <c r="AR89" s="53">
        <f t="shared" si="232"/>
        <v>0</v>
      </c>
      <c r="AS89" s="39"/>
      <c r="AT89" s="68">
        <f t="shared" si="233"/>
        <v>0</v>
      </c>
      <c r="AU89" s="68">
        <f t="shared" si="234"/>
        <v>0</v>
      </c>
      <c r="AV89" s="68">
        <f t="shared" si="235"/>
        <v>0</v>
      </c>
      <c r="AW89" s="68">
        <f t="shared" si="252"/>
        <v>0</v>
      </c>
      <c r="AX89" s="39"/>
      <c r="AY89" s="39"/>
    </row>
    <row r="90" spans="1:51" x14ac:dyDescent="0.25">
      <c r="A90" s="30">
        <v>2055</v>
      </c>
      <c r="B90" s="33">
        <f>w_uf*UF*Parámetros!C77</f>
        <v>1263992.3332262221</v>
      </c>
      <c r="C90" s="30">
        <f t="shared" si="247"/>
        <v>76</v>
      </c>
      <c r="D90" s="30">
        <f>((A90=Inputs!$C$12)*(Inputs!$D$12) + (A90=Inputs!$C$13)*(Inputs!$D$13) + (A90=Inputs!$C$14)*(Inputs!$D$14)) *(A90 &gt;= a_afil)*(A90&gt;=2024)</f>
        <v>0</v>
      </c>
      <c r="E90" s="30">
        <f>MIN(1,(A90=Inputs!$C$19)*Inputs!$D$19+(A90=Inputs!$C$20)*Inputs!$D$20+(A90=Inputs!$C$21)*Inputs!$D$21*(A90 &gt;= a_afil))</f>
        <v>0</v>
      </c>
      <c r="F90" s="30">
        <f t="shared" si="248"/>
        <v>0</v>
      </c>
      <c r="G90" s="30">
        <f t="shared" si="249"/>
        <v>0</v>
      </c>
      <c r="H90" s="30">
        <v>0.79729729890823364</v>
      </c>
      <c r="I90" s="37">
        <f t="shared" ref="I90:I121" si="255">IF(F90=1,+dens_cot,0)</f>
        <v>0</v>
      </c>
      <c r="J90" s="37">
        <f t="shared" ref="J90:J134" si="256">IF(G90=1,+dens_mujer,0)</f>
        <v>0</v>
      </c>
      <c r="K90" s="30">
        <f>1*OR(Inputs!$D$17=$A90,Inputs!$E$17=$A90)*($E90=0)*(F90=1)</f>
        <v>0</v>
      </c>
      <c r="L90" s="30">
        <f>1*OR(Inputs!$D$17=$A90,Inputs!$E$17=$A90)*($E90=0)*(G90=1)</f>
        <v>0</v>
      </c>
      <c r="M90" s="73">
        <f t="shared" si="245"/>
        <v>0</v>
      </c>
      <c r="N90" s="73">
        <f t="shared" si="246"/>
        <v>0</v>
      </c>
      <c r="O90" s="55">
        <f>Parámetros!$E77*12*I90*$P$14</f>
        <v>0</v>
      </c>
      <c r="P90" s="55">
        <f>Parámetros!$E77*12*J90*$P$14</f>
        <v>0</v>
      </c>
      <c r="Q90" s="70">
        <f t="shared" si="225"/>
        <v>0</v>
      </c>
      <c r="R90" s="70">
        <f t="shared" si="226"/>
        <v>0</v>
      </c>
      <c r="S90" s="68">
        <f t="shared" si="243"/>
        <v>0</v>
      </c>
      <c r="T90" s="68">
        <f t="shared" si="244"/>
        <v>0</v>
      </c>
      <c r="U90" s="177"/>
      <c r="V90" s="68">
        <f t="shared" si="237"/>
        <v>0</v>
      </c>
      <c r="W90" s="68">
        <f t="shared" si="238"/>
        <v>0</v>
      </c>
      <c r="X90" s="54">
        <f t="shared" si="253"/>
        <v>0</v>
      </c>
      <c r="Y90" s="54">
        <f t="shared" si="254"/>
        <v>0</v>
      </c>
      <c r="Z90" s="55">
        <f t="shared" si="239"/>
        <v>0</v>
      </c>
      <c r="AA90" s="55">
        <f t="shared" si="240"/>
        <v>0</v>
      </c>
      <c r="AB90" s="53">
        <f>D90*mmater*Parámetros!$G77*$X$5+AB89*(1+i_noc)</f>
        <v>0</v>
      </c>
      <c r="AC90" s="53">
        <f>E90*12*Parámetros!$F77*$X$5+AC89*(1+i_noc)</f>
        <v>1066188.6566077389</v>
      </c>
      <c r="AD90" s="53"/>
      <c r="AE90" s="53"/>
      <c r="AF90" s="175"/>
      <c r="AG90" s="74">
        <f t="shared" si="250"/>
        <v>0</v>
      </c>
      <c r="AH90" s="52">
        <f t="shared" si="251"/>
        <v>0</v>
      </c>
      <c r="AI90" s="56">
        <f t="shared" si="227"/>
        <v>0</v>
      </c>
      <c r="AJ90" s="56">
        <f t="shared" si="228"/>
        <v>0</v>
      </c>
      <c r="AK90" s="56"/>
      <c r="AL90" s="56"/>
      <c r="AM90" s="56"/>
      <c r="AN90" s="56"/>
      <c r="AO90" s="56">
        <f t="shared" si="229"/>
        <v>0</v>
      </c>
      <c r="AP90" s="56">
        <f t="shared" si="230"/>
        <v>0</v>
      </c>
      <c r="AQ90" s="53">
        <f t="shared" si="231"/>
        <v>0</v>
      </c>
      <c r="AR90" s="53">
        <f t="shared" si="232"/>
        <v>0</v>
      </c>
      <c r="AS90" s="39"/>
      <c r="AT90" s="68">
        <f t="shared" si="233"/>
        <v>0</v>
      </c>
      <c r="AU90" s="68">
        <f t="shared" si="234"/>
        <v>0</v>
      </c>
      <c r="AV90" s="68">
        <f t="shared" si="235"/>
        <v>0</v>
      </c>
      <c r="AW90" s="68">
        <f t="shared" si="252"/>
        <v>0</v>
      </c>
      <c r="AX90" s="39"/>
      <c r="AY90" s="39"/>
    </row>
    <row r="91" spans="1:51" x14ac:dyDescent="0.25">
      <c r="A91" s="30">
        <v>2056</v>
      </c>
      <c r="B91" s="33">
        <f>w_uf*UF*Parámetros!C78</f>
        <v>1279792.2373915499</v>
      </c>
      <c r="C91" s="30">
        <f t="shared" si="247"/>
        <v>77</v>
      </c>
      <c r="D91" s="30">
        <f>((A91=Inputs!$C$12)*(Inputs!$D$12) + (A91=Inputs!$C$13)*(Inputs!$D$13) + (A91=Inputs!$C$14)*(Inputs!$D$14)) *(A91 &gt;= a_afil)*(A91&gt;=2024)</f>
        <v>0</v>
      </c>
      <c r="E91" s="30">
        <f>MIN(1,(A91=Inputs!$C$19)*Inputs!$D$19+(A91=Inputs!$C$20)*Inputs!$D$20+(A91=Inputs!$C$21)*Inputs!$D$21*(A91 &gt;= a_afil))</f>
        <v>0</v>
      </c>
      <c r="F91" s="30">
        <f t="shared" si="248"/>
        <v>0</v>
      </c>
      <c r="G91" s="30">
        <f t="shared" si="249"/>
        <v>0</v>
      </c>
      <c r="H91" s="30">
        <v>0.69628500938415527</v>
      </c>
      <c r="I91" s="37">
        <f t="shared" si="255"/>
        <v>0</v>
      </c>
      <c r="J91" s="37">
        <f t="shared" si="256"/>
        <v>0</v>
      </c>
      <c r="K91" s="30">
        <f>1*OR(Inputs!$D$17=$A91,Inputs!$E$17=$A91)*($E91=0)*(F91=1)</f>
        <v>0</v>
      </c>
      <c r="L91" s="30">
        <f>1*OR(Inputs!$D$17=$A91,Inputs!$E$17=$A91)*($E91=0)*(G91=1)</f>
        <v>0</v>
      </c>
      <c r="M91" s="73">
        <f t="shared" si="245"/>
        <v>0</v>
      </c>
      <c r="N91" s="73">
        <f t="shared" si="246"/>
        <v>0</v>
      </c>
      <c r="O91" s="55">
        <f>Parámetros!$E78*12*I91*$P$14</f>
        <v>0</v>
      </c>
      <c r="P91" s="55">
        <f>Parámetros!$E78*12*J91*$P$14</f>
        <v>0</v>
      </c>
      <c r="Q91" s="70">
        <f t="shared" si="225"/>
        <v>0</v>
      </c>
      <c r="R91" s="70">
        <f t="shared" si="226"/>
        <v>0</v>
      </c>
      <c r="S91" s="68">
        <f t="shared" si="243"/>
        <v>0</v>
      </c>
      <c r="T91" s="68">
        <f t="shared" si="244"/>
        <v>0</v>
      </c>
      <c r="U91" s="177"/>
      <c r="V91" s="68">
        <f t="shared" si="237"/>
        <v>0</v>
      </c>
      <c r="W91" s="68">
        <f t="shared" si="238"/>
        <v>0</v>
      </c>
      <c r="X91" s="54">
        <f t="shared" si="253"/>
        <v>0</v>
      </c>
      <c r="Y91" s="54">
        <f t="shared" si="254"/>
        <v>0</v>
      </c>
      <c r="Z91" s="55">
        <f t="shared" si="239"/>
        <v>0</v>
      </c>
      <c r="AA91" s="55">
        <f t="shared" si="240"/>
        <v>0</v>
      </c>
      <c r="AB91" s="53">
        <f>D91*mmater*Parámetros!$G78*$X$5+AB90*(1+i_noc)</f>
        <v>0</v>
      </c>
      <c r="AC91" s="53">
        <f>E91*12*Parámetros!$F78*$X$5+AC90*(1+i_noc)</f>
        <v>1087512.4297398936</v>
      </c>
      <c r="AD91" s="53"/>
      <c r="AE91" s="53"/>
      <c r="AF91" s="175"/>
      <c r="AG91" s="74">
        <f t="shared" si="250"/>
        <v>0</v>
      </c>
      <c r="AH91" s="52">
        <f t="shared" si="251"/>
        <v>0</v>
      </c>
      <c r="AI91" s="56">
        <f t="shared" ref="AI91:AI122" si="257">($A91=D$9)*SUM(V91,Z91)/(12*_xlfn.XLOOKUP(AI$15,sexo_cnu,cnu))</f>
        <v>0</v>
      </c>
      <c r="AJ91" s="56">
        <f t="shared" ref="AJ91:AJ122" si="258">($A91=E$9)*SUM(W91,AA91)/(12*_xlfn.XLOOKUP(AJ$15,sexo_cnu,cnu))</f>
        <v>0</v>
      </c>
      <c r="AK91" s="56"/>
      <c r="AL91" s="56"/>
      <c r="AM91" s="56"/>
      <c r="AN91" s="56"/>
      <c r="AO91" s="56">
        <f t="shared" ref="AO91:AO122" si="259">($A91=E$9)*AB91/(12*_xlfn.XLOOKUP(AO$15,sexo_cnu,cnu_noc))</f>
        <v>0</v>
      </c>
      <c r="AP91" s="56">
        <f t="shared" ref="AP91:AP122" si="260">($A91=E$9)*AC91/(12*_xlfn.XLOOKUP(AP$15,sexo_cnu,cnu_noc))</f>
        <v>0</v>
      </c>
      <c r="AQ91" s="53">
        <f t="shared" ref="AQ91:AQ122" si="261">($A91=D$9)*AD91/(12*_xlfn.XLOOKUP(AQ$15,sexo_cnu,cnu_noc))</f>
        <v>0</v>
      </c>
      <c r="AR91" s="53">
        <f t="shared" ref="AR91:AR122" si="262">($A91=E$9)*AE91/(12*_xlfn.XLOOKUP(AR$15,sexo_cnu,cnu_noc))</f>
        <v>0</v>
      </c>
      <c r="AS91" s="39"/>
      <c r="AT91" s="68">
        <f t="shared" ref="AT91:AT122" si="263">IF($A91=a_nac+edad_ret_h,V91/(12*_xlfn.XLOOKUP(AT$15,sexo_cnu,cnu)),0)</f>
        <v>0</v>
      </c>
      <c r="AU91" s="68">
        <f t="shared" ref="AU91:AU122" si="264">IF($A91=a_nac+edad_ret_m,W91/(12*_xlfn.XLOOKUP(AU$15,sexo_cnu,cnu)),0)</f>
        <v>0</v>
      </c>
      <c r="AV91" s="68">
        <f t="shared" ref="AV91:AV122" si="265">IF($A91=a_nac+edad_ret_h,Z91/(12*_xlfn.XLOOKUP(AV$15,sexo_cnu,cnu)),0)</f>
        <v>0</v>
      </c>
      <c r="AW91" s="68">
        <f t="shared" si="252"/>
        <v>0</v>
      </c>
      <c r="AX91" s="39"/>
      <c r="AY91" s="39"/>
    </row>
    <row r="92" spans="1:51" x14ac:dyDescent="0.25">
      <c r="A92" s="30">
        <v>2057</v>
      </c>
      <c r="B92" s="33">
        <f>w_uf*UF*Parámetros!C79</f>
        <v>1295789.6403589442</v>
      </c>
      <c r="C92" s="30">
        <f t="shared" si="247"/>
        <v>78</v>
      </c>
      <c r="D92" s="30">
        <f>((A92=Inputs!$C$12)*(Inputs!$D$12) + (A92=Inputs!$C$13)*(Inputs!$D$13) + (A92=Inputs!$C$14)*(Inputs!$D$14)) *(A92 &gt;= a_afil)*(A92&gt;=2024)</f>
        <v>0</v>
      </c>
      <c r="E92" s="30">
        <f>MIN(1,(A92=Inputs!$C$19)*Inputs!$D$19+(A92=Inputs!$C$20)*Inputs!$D$20+(A92=Inputs!$C$21)*Inputs!$D$21*(A92 &gt;= a_afil))</f>
        <v>0</v>
      </c>
      <c r="F92" s="30">
        <f t="shared" si="248"/>
        <v>0</v>
      </c>
      <c r="G92" s="30">
        <f t="shared" si="249"/>
        <v>0</v>
      </c>
      <c r="H92" s="30">
        <v>0.40160459280014038</v>
      </c>
      <c r="I92" s="37">
        <f t="shared" si="255"/>
        <v>0</v>
      </c>
      <c r="J92" s="37">
        <f t="shared" si="256"/>
        <v>0</v>
      </c>
      <c r="K92" s="30">
        <f>1*OR(Inputs!$D$17=$A92,Inputs!$E$17=$A92)*($E92=0)*(F92=1)</f>
        <v>0</v>
      </c>
      <c r="L92" s="30">
        <f>1*OR(Inputs!$D$17=$A92,Inputs!$E$17=$A92)*($E92=0)*(G92=1)</f>
        <v>0</v>
      </c>
      <c r="M92" s="73">
        <f t="shared" si="245"/>
        <v>0</v>
      </c>
      <c r="N92" s="73">
        <f t="shared" si="246"/>
        <v>0</v>
      </c>
      <c r="O92" s="55">
        <f>Parámetros!$E79*12*I92*$P$14</f>
        <v>0</v>
      </c>
      <c r="P92" s="55">
        <f>Parámetros!$E79*12*J92*$P$14</f>
        <v>0</v>
      </c>
      <c r="Q92" s="70">
        <f t="shared" si="225"/>
        <v>0</v>
      </c>
      <c r="R92" s="70">
        <f t="shared" si="226"/>
        <v>0</v>
      </c>
      <c r="S92" s="68">
        <f t="shared" si="243"/>
        <v>0</v>
      </c>
      <c r="T92" s="68">
        <f t="shared" si="244"/>
        <v>0</v>
      </c>
      <c r="U92" s="177"/>
      <c r="V92" s="68">
        <f t="shared" si="237"/>
        <v>0</v>
      </c>
      <c r="W92" s="68">
        <f t="shared" si="238"/>
        <v>0</v>
      </c>
      <c r="X92" s="54">
        <f t="shared" si="253"/>
        <v>0</v>
      </c>
      <c r="Y92" s="54">
        <f t="shared" si="254"/>
        <v>0</v>
      </c>
      <c r="Z92" s="55">
        <f t="shared" si="239"/>
        <v>0</v>
      </c>
      <c r="AA92" s="55">
        <f t="shared" si="240"/>
        <v>0</v>
      </c>
      <c r="AB92" s="53">
        <f>D92*mmater*Parámetros!$G79*$X$5+AB91*(1+i_noc)</f>
        <v>0</v>
      </c>
      <c r="AC92" s="53">
        <f>E92*12*Parámetros!$F79*$X$5+AC91*(1+i_noc)</f>
        <v>1109262.6783346916</v>
      </c>
      <c r="AD92" s="53"/>
      <c r="AE92" s="53"/>
      <c r="AF92" s="175"/>
      <c r="AG92" s="74">
        <f t="shared" si="250"/>
        <v>0</v>
      </c>
      <c r="AH92" s="52">
        <f t="shared" si="251"/>
        <v>0</v>
      </c>
      <c r="AI92" s="56">
        <f t="shared" si="257"/>
        <v>0</v>
      </c>
      <c r="AJ92" s="56">
        <f t="shared" si="258"/>
        <v>0</v>
      </c>
      <c r="AK92" s="56"/>
      <c r="AL92" s="56"/>
      <c r="AM92" s="56"/>
      <c r="AN92" s="56"/>
      <c r="AO92" s="56">
        <f t="shared" si="259"/>
        <v>0</v>
      </c>
      <c r="AP92" s="56">
        <f t="shared" si="260"/>
        <v>0</v>
      </c>
      <c r="AQ92" s="53">
        <f t="shared" si="261"/>
        <v>0</v>
      </c>
      <c r="AR92" s="53">
        <f t="shared" si="262"/>
        <v>0</v>
      </c>
      <c r="AS92" s="39"/>
      <c r="AT92" s="68">
        <f t="shared" si="263"/>
        <v>0</v>
      </c>
      <c r="AU92" s="68">
        <f t="shared" si="264"/>
        <v>0</v>
      </c>
      <c r="AV92" s="68">
        <f t="shared" si="265"/>
        <v>0</v>
      </c>
      <c r="AW92" s="68">
        <f t="shared" si="252"/>
        <v>0</v>
      </c>
      <c r="AX92" s="39"/>
      <c r="AY92" s="39"/>
    </row>
    <row r="93" spans="1:51" x14ac:dyDescent="0.25">
      <c r="A93" s="30">
        <v>2058</v>
      </c>
      <c r="B93" s="33">
        <f>w_uf*UF*Parámetros!C80</f>
        <v>1311987.010863431</v>
      </c>
      <c r="C93" s="30">
        <f t="shared" si="247"/>
        <v>79</v>
      </c>
      <c r="D93" s="30">
        <f>((A93=Inputs!$C$12)*(Inputs!$D$12) + (A93=Inputs!$C$13)*(Inputs!$D$13) + (A93=Inputs!$C$14)*(Inputs!$D$14)) *(A93 &gt;= a_afil)*(A93&gt;=2024)</f>
        <v>0</v>
      </c>
      <c r="E93" s="30">
        <f>MIN(1,(A93=Inputs!$C$19)*Inputs!$D$19+(A93=Inputs!$C$20)*Inputs!$D$20+(A93=Inputs!$C$21)*Inputs!$D$21*(A93 &gt;= a_afil))</f>
        <v>0</v>
      </c>
      <c r="F93" s="30">
        <f t="shared" si="248"/>
        <v>0</v>
      </c>
      <c r="G93" s="30">
        <f t="shared" si="249"/>
        <v>0</v>
      </c>
      <c r="H93" s="30">
        <v>1.6297698020935059E-2</v>
      </c>
      <c r="I93" s="37">
        <f t="shared" si="255"/>
        <v>0</v>
      </c>
      <c r="J93" s="37">
        <f t="shared" si="256"/>
        <v>0</v>
      </c>
      <c r="K93" s="30">
        <f>1*OR(Inputs!$D$17=$A93,Inputs!$E$17=$A93)*($E93=0)*(F93=1)</f>
        <v>0</v>
      </c>
      <c r="L93" s="30">
        <f>1*OR(Inputs!$D$17=$A93,Inputs!$E$17=$A93)*($E93=0)*(G93=1)</f>
        <v>0</v>
      </c>
      <c r="M93" s="73">
        <f t="shared" si="245"/>
        <v>0</v>
      </c>
      <c r="N93" s="73">
        <f t="shared" si="246"/>
        <v>0</v>
      </c>
      <c r="O93" s="55">
        <f>Parámetros!$E80*12*I93*$P$14</f>
        <v>0</v>
      </c>
      <c r="P93" s="55">
        <f>Parámetros!$E80*12*J93*$P$14</f>
        <v>0</v>
      </c>
      <c r="Q93" s="70">
        <f t="shared" si="225"/>
        <v>0</v>
      </c>
      <c r="R93" s="70">
        <f t="shared" si="226"/>
        <v>0</v>
      </c>
      <c r="S93" s="68">
        <f t="shared" si="243"/>
        <v>0</v>
      </c>
      <c r="T93" s="68">
        <f t="shared" si="244"/>
        <v>0</v>
      </c>
      <c r="U93" s="177"/>
      <c r="V93" s="68">
        <f t="shared" ref="V93:V124" si="266">M93*alpha+O93*(1-alpha)+F92*V92*(1+_xlfn.XLOOKUP(MIN(2024,$A92),agnos_rent,rent_base))*(1-$X$6)</f>
        <v>0</v>
      </c>
      <c r="W93" s="68">
        <f t="shared" ref="W93:W124" si="267">N93*alpha+P93*(1-alpha)+G92*W92*(1+_xlfn.XLOOKUP(MIN(2024,$A92),agnos_rent,rent_base))*(1-$X$6)</f>
        <v>0</v>
      </c>
      <c r="X93" s="54">
        <f t="shared" si="253"/>
        <v>0</v>
      </c>
      <c r="Y93" s="54">
        <f t="shared" si="254"/>
        <v>0</v>
      </c>
      <c r="Z93" s="55">
        <f t="shared" ref="Z93:Z124" si="268">F92*Z92*(1+_xlfn.XLOOKUP(MIN(2024,$A92),agnos_rent,rent_base))*(1-$X$6)+S93</f>
        <v>0</v>
      </c>
      <c r="AA93" s="55">
        <f t="shared" ref="AA93:AA124" si="269">G92*AA92*(1+_xlfn.XLOOKUP(MIN(2024,$A92),agnos_rent,rent_base))*(1-$X$6)+T93</f>
        <v>0</v>
      </c>
      <c r="AB93" s="53">
        <f>D93*mmater*Parámetros!$G80*$X$5+AB92*(1+i_noc)</f>
        <v>0</v>
      </c>
      <c r="AC93" s="53">
        <f>E93*12*Parámetros!$F80*$X$5+AC92*(1+i_noc)</f>
        <v>1131447.9319013853</v>
      </c>
      <c r="AD93" s="53"/>
      <c r="AE93" s="53"/>
      <c r="AF93" s="175"/>
      <c r="AG93" s="74">
        <f t="shared" si="250"/>
        <v>0</v>
      </c>
      <c r="AH93" s="52">
        <f t="shared" si="251"/>
        <v>0</v>
      </c>
      <c r="AI93" s="56">
        <f t="shared" si="257"/>
        <v>0</v>
      </c>
      <c r="AJ93" s="56">
        <f t="shared" si="258"/>
        <v>0</v>
      </c>
      <c r="AK93" s="56"/>
      <c r="AL93" s="56"/>
      <c r="AM93" s="56"/>
      <c r="AN93" s="56"/>
      <c r="AO93" s="56">
        <f t="shared" si="259"/>
        <v>0</v>
      </c>
      <c r="AP93" s="56">
        <f t="shared" si="260"/>
        <v>0</v>
      </c>
      <c r="AQ93" s="53">
        <f t="shared" si="261"/>
        <v>0</v>
      </c>
      <c r="AR93" s="53">
        <f t="shared" si="262"/>
        <v>0</v>
      </c>
      <c r="AS93" s="39"/>
      <c r="AT93" s="68">
        <f t="shared" si="263"/>
        <v>0</v>
      </c>
      <c r="AU93" s="68">
        <f t="shared" si="264"/>
        <v>0</v>
      </c>
      <c r="AV93" s="68">
        <f t="shared" si="265"/>
        <v>0</v>
      </c>
      <c r="AW93" s="68">
        <f t="shared" si="252"/>
        <v>0</v>
      </c>
      <c r="AX93" s="39"/>
      <c r="AY93" s="39"/>
    </row>
    <row r="94" spans="1:51" x14ac:dyDescent="0.25">
      <c r="A94" s="30">
        <v>2059</v>
      </c>
      <c r="B94" s="33">
        <f>w_uf*UF*Parámetros!C81</f>
        <v>1328386.8484992238</v>
      </c>
      <c r="C94" s="30">
        <f t="shared" si="247"/>
        <v>80</v>
      </c>
      <c r="D94" s="30">
        <f>((A94=Inputs!$C$12)*(Inputs!$D$12) + (A94=Inputs!$C$13)*(Inputs!$D$13) + (A94=Inputs!$C$14)*(Inputs!$D$14)) *(A94 &gt;= a_afil)*(A94&gt;=2024)</f>
        <v>0</v>
      </c>
      <c r="E94" s="30">
        <f>MIN(1,(A94=Inputs!$C$19)*Inputs!$D$19+(A94=Inputs!$C$20)*Inputs!$D$20+(A94=Inputs!$C$21)*Inputs!$D$21*(A94 &gt;= a_afil))</f>
        <v>0</v>
      </c>
      <c r="F94" s="30">
        <f t="shared" si="248"/>
        <v>0</v>
      </c>
      <c r="G94" s="30">
        <f t="shared" si="249"/>
        <v>0</v>
      </c>
      <c r="H94" s="30">
        <v>0.16776281595230103</v>
      </c>
      <c r="I94" s="37">
        <f t="shared" si="255"/>
        <v>0</v>
      </c>
      <c r="J94" s="37">
        <f t="shared" si="256"/>
        <v>0</v>
      </c>
      <c r="K94" s="30">
        <f>1*OR(Inputs!$D$17=$A94,Inputs!$E$17=$A94)*($E94=0)*(F94=1)</f>
        <v>0</v>
      </c>
      <c r="L94" s="30">
        <f>1*OR(Inputs!$D$17=$A94,Inputs!$E$17=$A94)*($E94=0)*(G94=1)</f>
        <v>0</v>
      </c>
      <c r="M94" s="73">
        <f t="shared" si="245"/>
        <v>0</v>
      </c>
      <c r="N94" s="73">
        <f t="shared" si="246"/>
        <v>0</v>
      </c>
      <c r="O94" s="55">
        <f>Parámetros!$E81*12*I94*$P$14</f>
        <v>0</v>
      </c>
      <c r="P94" s="55">
        <f>Parámetros!$E81*12*J94*$P$14</f>
        <v>0</v>
      </c>
      <c r="Q94" s="70">
        <f t="shared" si="225"/>
        <v>0</v>
      </c>
      <c r="R94" s="70">
        <f t="shared" si="226"/>
        <v>0</v>
      </c>
      <c r="S94" s="68">
        <f t="shared" si="243"/>
        <v>0</v>
      </c>
      <c r="T94" s="68">
        <f t="shared" si="244"/>
        <v>0</v>
      </c>
      <c r="U94" s="177"/>
      <c r="V94" s="68">
        <f t="shared" si="266"/>
        <v>0</v>
      </c>
      <c r="W94" s="68">
        <f t="shared" si="267"/>
        <v>0</v>
      </c>
      <c r="X94" s="54">
        <f t="shared" si="253"/>
        <v>0</v>
      </c>
      <c r="Y94" s="54">
        <f t="shared" si="254"/>
        <v>0</v>
      </c>
      <c r="Z94" s="55">
        <f t="shared" si="268"/>
        <v>0</v>
      </c>
      <c r="AA94" s="55">
        <f t="shared" si="269"/>
        <v>0</v>
      </c>
      <c r="AB94" s="53">
        <f>D94*mmater*Parámetros!$G81*$X$5+AB93*(1+i_noc)</f>
        <v>0</v>
      </c>
      <c r="AC94" s="53">
        <f>E94*12*Parámetros!$F81*$X$5+AC93*(1+i_noc)</f>
        <v>1154076.8905394131</v>
      </c>
      <c r="AD94" s="53"/>
      <c r="AE94" s="53"/>
      <c r="AF94" s="175"/>
      <c r="AG94" s="74">
        <f t="shared" si="250"/>
        <v>0</v>
      </c>
      <c r="AH94" s="52">
        <f t="shared" si="251"/>
        <v>0</v>
      </c>
      <c r="AI94" s="56">
        <f t="shared" si="257"/>
        <v>0</v>
      </c>
      <c r="AJ94" s="56">
        <f t="shared" si="258"/>
        <v>0</v>
      </c>
      <c r="AK94" s="56"/>
      <c r="AL94" s="56"/>
      <c r="AM94" s="56"/>
      <c r="AN94" s="56"/>
      <c r="AO94" s="56">
        <f t="shared" si="259"/>
        <v>0</v>
      </c>
      <c r="AP94" s="56">
        <f t="shared" si="260"/>
        <v>0</v>
      </c>
      <c r="AQ94" s="53">
        <f t="shared" si="261"/>
        <v>0</v>
      </c>
      <c r="AR94" s="53">
        <f t="shared" si="262"/>
        <v>0</v>
      </c>
      <c r="AS94" s="39"/>
      <c r="AT94" s="68">
        <f t="shared" si="263"/>
        <v>0</v>
      </c>
      <c r="AU94" s="68">
        <f t="shared" si="264"/>
        <v>0</v>
      </c>
      <c r="AV94" s="68">
        <f t="shared" si="265"/>
        <v>0</v>
      </c>
      <c r="AW94" s="68">
        <f t="shared" si="252"/>
        <v>0</v>
      </c>
      <c r="AX94" s="39"/>
      <c r="AY94" s="39"/>
    </row>
    <row r="95" spans="1:51" x14ac:dyDescent="0.25">
      <c r="A95" s="30">
        <v>2060</v>
      </c>
      <c r="B95" s="33">
        <f>w_uf*UF*Parámetros!C82</f>
        <v>1344991.6841054638</v>
      </c>
      <c r="C95" s="30">
        <f t="shared" si="247"/>
        <v>81</v>
      </c>
      <c r="D95" s="30">
        <f>((A95=Inputs!$C$12)*(Inputs!$D$12) + (A95=Inputs!$C$13)*(Inputs!$D$13) + (A95=Inputs!$C$14)*(Inputs!$D$14)) *(A95 &gt;= a_afil)*(A95&gt;=2024)</f>
        <v>0</v>
      </c>
      <c r="E95" s="30">
        <f>MIN(1,(A95=Inputs!$C$19)*Inputs!$D$19+(A95=Inputs!$C$20)*Inputs!$D$20+(A95=Inputs!$C$21)*Inputs!$D$21*(A95 &gt;= a_afil))</f>
        <v>0</v>
      </c>
      <c r="F95" s="30">
        <f t="shared" si="248"/>
        <v>0</v>
      </c>
      <c r="G95" s="30">
        <f t="shared" si="249"/>
        <v>0</v>
      </c>
      <c r="H95" s="30">
        <v>0.16423416137695313</v>
      </c>
      <c r="I95" s="37">
        <f t="shared" si="255"/>
        <v>0</v>
      </c>
      <c r="J95" s="37">
        <f t="shared" si="256"/>
        <v>0</v>
      </c>
      <c r="K95" s="30">
        <f>1*OR(Inputs!$D$17=$A95,Inputs!$E$17=$A95)*($E95=0)*(F95=1)</f>
        <v>0</v>
      </c>
      <c r="L95" s="30">
        <f>1*OR(Inputs!$D$17=$A95,Inputs!$E$17=$A95)*($E95=0)*(G95=1)</f>
        <v>0</v>
      </c>
      <c r="M95" s="73">
        <f t="shared" si="245"/>
        <v>0</v>
      </c>
      <c r="N95" s="73">
        <f t="shared" si="246"/>
        <v>0</v>
      </c>
      <c r="O95" s="55">
        <f>Parámetros!$E82*12*I95*$P$14</f>
        <v>0</v>
      </c>
      <c r="P95" s="55">
        <f>Parámetros!$E82*12*J95*$P$14</f>
        <v>0</v>
      </c>
      <c r="Q95" s="70">
        <f t="shared" si="225"/>
        <v>0</v>
      </c>
      <c r="R95" s="70">
        <f t="shared" si="226"/>
        <v>0</v>
      </c>
      <c r="S95" s="68">
        <f t="shared" si="243"/>
        <v>0</v>
      </c>
      <c r="T95" s="68">
        <f t="shared" si="244"/>
        <v>0</v>
      </c>
      <c r="U95" s="177"/>
      <c r="V95" s="68">
        <f t="shared" si="266"/>
        <v>0</v>
      </c>
      <c r="W95" s="68">
        <f t="shared" si="267"/>
        <v>0</v>
      </c>
      <c r="X95" s="54">
        <f t="shared" si="253"/>
        <v>0</v>
      </c>
      <c r="Y95" s="54">
        <f t="shared" si="254"/>
        <v>0</v>
      </c>
      <c r="Z95" s="55">
        <f t="shared" si="268"/>
        <v>0</v>
      </c>
      <c r="AA95" s="55">
        <f t="shared" si="269"/>
        <v>0</v>
      </c>
      <c r="AB95" s="53">
        <f>D95*mmater*Parámetros!$G82*$X$5+AB94*(1+i_noc)</f>
        <v>0</v>
      </c>
      <c r="AC95" s="53">
        <f>E95*12*Parámetros!$F82*$X$5+AC94*(1+i_noc)</f>
        <v>1177158.4283502013</v>
      </c>
      <c r="AD95" s="53"/>
      <c r="AE95" s="53"/>
      <c r="AF95" s="175"/>
      <c r="AG95" s="74">
        <f t="shared" si="250"/>
        <v>0</v>
      </c>
      <c r="AH95" s="52">
        <f t="shared" si="251"/>
        <v>0</v>
      </c>
      <c r="AI95" s="56">
        <f t="shared" si="257"/>
        <v>0</v>
      </c>
      <c r="AJ95" s="56">
        <f t="shared" si="258"/>
        <v>0</v>
      </c>
      <c r="AK95" s="56"/>
      <c r="AL95" s="56"/>
      <c r="AM95" s="56"/>
      <c r="AN95" s="56"/>
      <c r="AO95" s="56">
        <f t="shared" si="259"/>
        <v>0</v>
      </c>
      <c r="AP95" s="56">
        <f t="shared" si="260"/>
        <v>0</v>
      </c>
      <c r="AQ95" s="53">
        <f t="shared" si="261"/>
        <v>0</v>
      </c>
      <c r="AR95" s="53">
        <f t="shared" si="262"/>
        <v>0</v>
      </c>
      <c r="AS95" s="39"/>
      <c r="AT95" s="68">
        <f t="shared" si="263"/>
        <v>0</v>
      </c>
      <c r="AU95" s="68">
        <f t="shared" si="264"/>
        <v>0</v>
      </c>
      <c r="AV95" s="68">
        <f t="shared" si="265"/>
        <v>0</v>
      </c>
      <c r="AW95" s="68">
        <f t="shared" si="252"/>
        <v>0</v>
      </c>
      <c r="AX95" s="39"/>
      <c r="AY95" s="39"/>
    </row>
    <row r="96" spans="1:51" x14ac:dyDescent="0.25">
      <c r="A96" s="30">
        <v>2061</v>
      </c>
      <c r="B96" s="33">
        <f>w_uf*UF*Parámetros!C83</f>
        <v>1361804.0801567822</v>
      </c>
      <c r="C96" s="30">
        <f t="shared" si="247"/>
        <v>82</v>
      </c>
      <c r="D96" s="30">
        <f>((A96=Inputs!$C$12)*(Inputs!$D$12) + (A96=Inputs!$C$13)*(Inputs!$D$13) + (A96=Inputs!$C$14)*(Inputs!$D$14)) *(A96 &gt;= a_afil)*(A96&gt;=2024)</f>
        <v>0</v>
      </c>
      <c r="E96" s="30">
        <f>MIN(1,(A96=Inputs!$C$19)*Inputs!$D$19+(A96=Inputs!$C$20)*Inputs!$D$20+(A96=Inputs!$C$21)*Inputs!$D$21*(A96 &gt;= a_afil))</f>
        <v>0</v>
      </c>
      <c r="F96" s="30">
        <f t="shared" si="248"/>
        <v>0</v>
      </c>
      <c r="G96" s="30">
        <f t="shared" si="249"/>
        <v>0</v>
      </c>
      <c r="H96" s="30">
        <v>0.50972002744674683</v>
      </c>
      <c r="I96" s="37">
        <f t="shared" si="255"/>
        <v>0</v>
      </c>
      <c r="J96" s="37">
        <f t="shared" si="256"/>
        <v>0</v>
      </c>
      <c r="K96" s="30">
        <f>1*OR(Inputs!$D$17=$A96,Inputs!$E$17=$A96)*($E96=0)*(F96=1)</f>
        <v>0</v>
      </c>
      <c r="L96" s="30">
        <f>1*OR(Inputs!$D$17=$A96,Inputs!$E$17=$A96)*($E96=0)*(G96=1)</f>
        <v>0</v>
      </c>
      <c r="M96" s="73">
        <f t="shared" si="245"/>
        <v>0</v>
      </c>
      <c r="N96" s="73">
        <f t="shared" si="246"/>
        <v>0</v>
      </c>
      <c r="O96" s="55">
        <f>Parámetros!$E83*12*I96*$P$14</f>
        <v>0</v>
      </c>
      <c r="P96" s="55">
        <f>Parámetros!$E83*12*J96*$P$14</f>
        <v>0</v>
      </c>
      <c r="Q96" s="70">
        <f t="shared" si="225"/>
        <v>0</v>
      </c>
      <c r="R96" s="70">
        <f t="shared" si="226"/>
        <v>0</v>
      </c>
      <c r="S96" s="68">
        <f t="shared" ref="S96:S127" si="270">MIN($B96,_xlfn.XLOOKUP($A96,agnos,tope_ref_ind)*UF) * (12*I96*$X$3 +  K96*_xlfn.XLOOKUP(n_mes_laguna,giros_sc,tr_sc_acum)*($X$3+$X$4))</f>
        <v>0</v>
      </c>
      <c r="T96" s="68">
        <f t="shared" ref="T96:T127" si="271">MIN($B96,_xlfn.XLOOKUP($A96,agnos,tope_ref_ind)*UF) * (12*J96*$X$3 +  L96*_xlfn.XLOOKUP(n_mes_laguna,giros_sc,tr_sc_acum)*($X$3+$X$4))</f>
        <v>0</v>
      </c>
      <c r="U96" s="177"/>
      <c r="V96" s="68">
        <f t="shared" si="266"/>
        <v>0</v>
      </c>
      <c r="W96" s="68">
        <f t="shared" si="267"/>
        <v>0</v>
      </c>
      <c r="X96" s="54">
        <f t="shared" si="253"/>
        <v>0</v>
      </c>
      <c r="Y96" s="54">
        <f t="shared" si="254"/>
        <v>0</v>
      </c>
      <c r="Z96" s="55">
        <f t="shared" si="268"/>
        <v>0</v>
      </c>
      <c r="AA96" s="55">
        <f t="shared" si="269"/>
        <v>0</v>
      </c>
      <c r="AB96" s="53">
        <f>D96*mmater*Parámetros!$G83*$X$5+AB95*(1+i_noc)</f>
        <v>0</v>
      </c>
      <c r="AC96" s="53">
        <f>E96*12*Parámetros!$F83*$X$5+AC95*(1+i_noc)</f>
        <v>1200701.5969172055</v>
      </c>
      <c r="AD96" s="53"/>
      <c r="AE96" s="53"/>
      <c r="AF96" s="175"/>
      <c r="AG96" s="74">
        <f t="shared" si="250"/>
        <v>0</v>
      </c>
      <c r="AH96" s="52">
        <f t="shared" si="251"/>
        <v>0</v>
      </c>
      <c r="AI96" s="56">
        <f t="shared" si="257"/>
        <v>0</v>
      </c>
      <c r="AJ96" s="56">
        <f t="shared" si="258"/>
        <v>0</v>
      </c>
      <c r="AK96" s="56"/>
      <c r="AL96" s="56"/>
      <c r="AM96" s="56"/>
      <c r="AN96" s="56"/>
      <c r="AO96" s="56">
        <f t="shared" si="259"/>
        <v>0</v>
      </c>
      <c r="AP96" s="56">
        <f t="shared" si="260"/>
        <v>0</v>
      </c>
      <c r="AQ96" s="53">
        <f t="shared" si="261"/>
        <v>0</v>
      </c>
      <c r="AR96" s="53">
        <f t="shared" si="262"/>
        <v>0</v>
      </c>
      <c r="AS96" s="39"/>
      <c r="AT96" s="68">
        <f t="shared" si="263"/>
        <v>0</v>
      </c>
      <c r="AU96" s="68">
        <f t="shared" si="264"/>
        <v>0</v>
      </c>
      <c r="AV96" s="68">
        <f t="shared" si="265"/>
        <v>0</v>
      </c>
      <c r="AW96" s="68">
        <f t="shared" si="252"/>
        <v>0</v>
      </c>
      <c r="AX96" s="39"/>
      <c r="AY96" s="39"/>
    </row>
    <row r="97" spans="1:52" x14ac:dyDescent="0.25">
      <c r="A97" s="30">
        <v>2062</v>
      </c>
      <c r="B97" s="33">
        <f>w_uf*UF*Parámetros!C84</f>
        <v>1378826.6311587419</v>
      </c>
      <c r="C97" s="30">
        <f t="shared" si="247"/>
        <v>83</v>
      </c>
      <c r="D97" s="30">
        <f>((A97=Inputs!$C$12)*(Inputs!$D$12) + (A97=Inputs!$C$13)*(Inputs!$D$13) + (A97=Inputs!$C$14)*(Inputs!$D$14)) *(A97 &gt;= a_afil)*(A97&gt;=2024)</f>
        <v>0</v>
      </c>
      <c r="E97" s="30">
        <f>MIN(1,(A97=Inputs!$C$19)*Inputs!$D$19+(A97=Inputs!$C$20)*Inputs!$D$20+(A97=Inputs!$C$21)*Inputs!$D$21*(A97 &gt;= a_afil))</f>
        <v>0</v>
      </c>
      <c r="F97" s="30">
        <f t="shared" si="248"/>
        <v>0</v>
      </c>
      <c r="G97" s="30">
        <f t="shared" si="249"/>
        <v>0</v>
      </c>
      <c r="H97" s="30">
        <v>0.40606272220611572</v>
      </c>
      <c r="I97" s="37">
        <f t="shared" si="255"/>
        <v>0</v>
      </c>
      <c r="J97" s="37">
        <f t="shared" si="256"/>
        <v>0</v>
      </c>
      <c r="K97" s="30">
        <f>1*OR(Inputs!$D$17=$A97,Inputs!$E$17=$A97)*($E97=0)*(F97=1)</f>
        <v>0</v>
      </c>
      <c r="L97" s="30">
        <f>1*OR(Inputs!$D$17=$A97,Inputs!$E$17=$A97)*($E97=0)*(G97=1)</f>
        <v>0</v>
      </c>
      <c r="M97" s="73">
        <f t="shared" si="245"/>
        <v>0</v>
      </c>
      <c r="N97" s="73">
        <f t="shared" si="246"/>
        <v>0</v>
      </c>
      <c r="O97" s="55">
        <f>Parámetros!$E84*12*I97*$P$14</f>
        <v>0</v>
      </c>
      <c r="P97" s="55">
        <f>Parámetros!$E84*12*J97*$P$14</f>
        <v>0</v>
      </c>
      <c r="Q97" s="70">
        <f t="shared" si="225"/>
        <v>0</v>
      </c>
      <c r="R97" s="70">
        <f t="shared" si="226"/>
        <v>0</v>
      </c>
      <c r="S97" s="68">
        <f t="shared" si="270"/>
        <v>0</v>
      </c>
      <c r="T97" s="68">
        <f t="shared" si="271"/>
        <v>0</v>
      </c>
      <c r="U97" s="177"/>
      <c r="V97" s="68">
        <f t="shared" si="266"/>
        <v>0</v>
      </c>
      <c r="W97" s="68">
        <f t="shared" si="267"/>
        <v>0</v>
      </c>
      <c r="X97" s="54">
        <f t="shared" si="253"/>
        <v>0</v>
      </c>
      <c r="Y97" s="54">
        <f t="shared" si="254"/>
        <v>0</v>
      </c>
      <c r="Z97" s="55">
        <f t="shared" si="268"/>
        <v>0</v>
      </c>
      <c r="AA97" s="55">
        <f t="shared" si="269"/>
        <v>0</v>
      </c>
      <c r="AB97" s="53">
        <f>D97*mmater*Parámetros!$G84*$X$5+AB96*(1+i_noc)</f>
        <v>0</v>
      </c>
      <c r="AC97" s="53">
        <f>E97*12*Parámetros!$F84*$X$5+AC96*(1+i_noc)</f>
        <v>1224715.6288555497</v>
      </c>
      <c r="AD97" s="53"/>
      <c r="AE97" s="53"/>
      <c r="AF97" s="175"/>
      <c r="AG97" s="74">
        <f t="shared" si="250"/>
        <v>0</v>
      </c>
      <c r="AH97" s="52">
        <f t="shared" si="251"/>
        <v>0</v>
      </c>
      <c r="AI97" s="56">
        <f t="shared" si="257"/>
        <v>0</v>
      </c>
      <c r="AJ97" s="56">
        <f t="shared" si="258"/>
        <v>0</v>
      </c>
      <c r="AK97" s="56"/>
      <c r="AL97" s="56"/>
      <c r="AM97" s="56"/>
      <c r="AN97" s="56"/>
      <c r="AO97" s="56">
        <f t="shared" si="259"/>
        <v>0</v>
      </c>
      <c r="AP97" s="56">
        <f t="shared" si="260"/>
        <v>0</v>
      </c>
      <c r="AQ97" s="53">
        <f t="shared" si="261"/>
        <v>0</v>
      </c>
      <c r="AR97" s="53">
        <f t="shared" si="262"/>
        <v>0</v>
      </c>
      <c r="AS97" s="39"/>
      <c r="AT97" s="68">
        <f t="shared" si="263"/>
        <v>0</v>
      </c>
      <c r="AU97" s="68">
        <f t="shared" si="264"/>
        <v>0</v>
      </c>
      <c r="AV97" s="68">
        <f t="shared" si="265"/>
        <v>0</v>
      </c>
      <c r="AW97" s="68">
        <f t="shared" si="252"/>
        <v>0</v>
      </c>
      <c r="AX97" s="39"/>
      <c r="AY97" s="39"/>
    </row>
    <row r="98" spans="1:52" x14ac:dyDescent="0.25">
      <c r="A98" s="30">
        <v>2063</v>
      </c>
      <c r="B98" s="33">
        <f>w_uf*UF*Parámetros!C85</f>
        <v>1396061.9640482261</v>
      </c>
      <c r="C98" s="30">
        <f t="shared" si="247"/>
        <v>84</v>
      </c>
      <c r="D98" s="30">
        <f>((A98=Inputs!$C$12)*(Inputs!$D$12) + (A98=Inputs!$C$13)*(Inputs!$D$13) + (A98=Inputs!$C$14)*(Inputs!$D$14)) *(A98 &gt;= a_afil)*(A98&gt;=2024)</f>
        <v>0</v>
      </c>
      <c r="E98" s="30">
        <f>MIN(1,(A98=Inputs!$C$19)*Inputs!$D$19+(A98=Inputs!$C$20)*Inputs!$D$20+(A98=Inputs!$C$21)*Inputs!$D$21*(A98 &gt;= a_afil))</f>
        <v>0</v>
      </c>
      <c r="F98" s="30">
        <f t="shared" si="248"/>
        <v>0</v>
      </c>
      <c r="G98" s="30">
        <f t="shared" si="249"/>
        <v>0</v>
      </c>
      <c r="H98" s="30">
        <v>0.10613375902175903</v>
      </c>
      <c r="I98" s="37">
        <f t="shared" si="255"/>
        <v>0</v>
      </c>
      <c r="J98" s="37">
        <f t="shared" si="256"/>
        <v>0</v>
      </c>
      <c r="K98" s="30">
        <f>1*OR(Inputs!$D$17=$A98,Inputs!$E$17=$A98)*($E98=0)*(F98=1)</f>
        <v>0</v>
      </c>
      <c r="L98" s="30">
        <f>1*OR(Inputs!$D$17=$A98,Inputs!$E$17=$A98)*($E98=0)*(G98=1)</f>
        <v>0</v>
      </c>
      <c r="M98" s="73">
        <f t="shared" si="245"/>
        <v>0</v>
      </c>
      <c r="N98" s="73">
        <f t="shared" si="246"/>
        <v>0</v>
      </c>
      <c r="O98" s="55">
        <f>Parámetros!$E85*12*I98*$P$14</f>
        <v>0</v>
      </c>
      <c r="P98" s="55">
        <f>Parámetros!$E85*12*J98*$P$14</f>
        <v>0</v>
      </c>
      <c r="Q98" s="70">
        <f t="shared" si="225"/>
        <v>0</v>
      </c>
      <c r="R98" s="70">
        <f t="shared" si="226"/>
        <v>0</v>
      </c>
      <c r="S98" s="68">
        <f t="shared" si="270"/>
        <v>0</v>
      </c>
      <c r="T98" s="68">
        <f t="shared" si="271"/>
        <v>0</v>
      </c>
      <c r="U98" s="177"/>
      <c r="V98" s="68">
        <f t="shared" si="266"/>
        <v>0</v>
      </c>
      <c r="W98" s="68">
        <f t="shared" si="267"/>
        <v>0</v>
      </c>
      <c r="X98" s="54">
        <f t="shared" si="253"/>
        <v>0</v>
      </c>
      <c r="Y98" s="54">
        <f t="shared" si="254"/>
        <v>0</v>
      </c>
      <c r="Z98" s="55">
        <f t="shared" si="268"/>
        <v>0</v>
      </c>
      <c r="AA98" s="55">
        <f t="shared" si="269"/>
        <v>0</v>
      </c>
      <c r="AB98" s="53">
        <f>D98*mmater*Parámetros!$G85*$X$5+AB97*(1+i_noc)</f>
        <v>0</v>
      </c>
      <c r="AC98" s="53">
        <f>E98*12*Parámetros!$F85*$X$5+AC97*(1+i_noc)</f>
        <v>1249209.9414326607</v>
      </c>
      <c r="AD98" s="53"/>
      <c r="AE98" s="53"/>
      <c r="AF98" s="175"/>
      <c r="AG98" s="74">
        <f t="shared" si="250"/>
        <v>0</v>
      </c>
      <c r="AH98" s="52">
        <f t="shared" si="251"/>
        <v>0</v>
      </c>
      <c r="AI98" s="56">
        <f t="shared" si="257"/>
        <v>0</v>
      </c>
      <c r="AJ98" s="56">
        <f t="shared" si="258"/>
        <v>0</v>
      </c>
      <c r="AK98" s="56"/>
      <c r="AL98" s="56"/>
      <c r="AM98" s="56"/>
      <c r="AN98" s="56"/>
      <c r="AO98" s="56">
        <f t="shared" si="259"/>
        <v>0</v>
      </c>
      <c r="AP98" s="56">
        <f t="shared" si="260"/>
        <v>0</v>
      </c>
      <c r="AQ98" s="53">
        <f t="shared" si="261"/>
        <v>0</v>
      </c>
      <c r="AR98" s="53">
        <f t="shared" si="262"/>
        <v>0</v>
      </c>
      <c r="AS98" s="39"/>
      <c r="AT98" s="68">
        <f t="shared" si="263"/>
        <v>0</v>
      </c>
      <c r="AU98" s="68">
        <f t="shared" si="264"/>
        <v>0</v>
      </c>
      <c r="AV98" s="68">
        <f t="shared" si="265"/>
        <v>0</v>
      </c>
      <c r="AW98" s="68">
        <f t="shared" si="252"/>
        <v>0</v>
      </c>
      <c r="AX98" s="39"/>
      <c r="AY98" s="39"/>
    </row>
    <row r="99" spans="1:52" x14ac:dyDescent="0.25">
      <c r="A99" s="30">
        <v>2064</v>
      </c>
      <c r="B99" s="33">
        <f>w_uf*UF*Parámetros!C86</f>
        <v>1413512.7385988289</v>
      </c>
      <c r="C99" s="30">
        <f t="shared" si="247"/>
        <v>85</v>
      </c>
      <c r="D99" s="30">
        <f>((A99=Inputs!$C$12)*(Inputs!$D$12) + (A99=Inputs!$C$13)*(Inputs!$D$13) + (A99=Inputs!$C$14)*(Inputs!$D$14)) *(A99 &gt;= a_afil)*(A99&gt;=2024)</f>
        <v>0</v>
      </c>
      <c r="E99" s="30">
        <f>MIN(1,(A99=Inputs!$C$19)*Inputs!$D$19+(A99=Inputs!$C$20)*Inputs!$D$20+(A99=Inputs!$C$21)*Inputs!$D$21*(A99 &gt;= a_afil))</f>
        <v>0</v>
      </c>
      <c r="F99" s="30">
        <f t="shared" si="248"/>
        <v>0</v>
      </c>
      <c r="G99" s="30">
        <f t="shared" si="249"/>
        <v>0</v>
      </c>
      <c r="H99" s="30">
        <v>0.2761232852935791</v>
      </c>
      <c r="I99" s="37">
        <f t="shared" si="255"/>
        <v>0</v>
      </c>
      <c r="J99" s="37">
        <f t="shared" si="256"/>
        <v>0</v>
      </c>
      <c r="K99" s="30">
        <f>1*OR(Inputs!$D$17=$A99,Inputs!$E$17=$A99)*($E99=0)*(F99=1)</f>
        <v>0</v>
      </c>
      <c r="L99" s="30">
        <f>1*OR(Inputs!$D$17=$A99,Inputs!$E$17=$A99)*($E99=0)*(G99=1)</f>
        <v>0</v>
      </c>
      <c r="M99" s="73">
        <f t="shared" si="245"/>
        <v>0</v>
      </c>
      <c r="N99" s="73">
        <f t="shared" si="246"/>
        <v>0</v>
      </c>
      <c r="O99" s="55">
        <f>Parámetros!$E86*12*I99*$P$14</f>
        <v>0</v>
      </c>
      <c r="P99" s="55">
        <f>Parámetros!$E86*12*J99*$P$14</f>
        <v>0</v>
      </c>
      <c r="Q99" s="70">
        <f t="shared" si="225"/>
        <v>0</v>
      </c>
      <c r="R99" s="70">
        <f t="shared" si="226"/>
        <v>0</v>
      </c>
      <c r="S99" s="68">
        <f t="shared" si="270"/>
        <v>0</v>
      </c>
      <c r="T99" s="68">
        <f t="shared" si="271"/>
        <v>0</v>
      </c>
      <c r="U99" s="177"/>
      <c r="V99" s="68">
        <f t="shared" si="266"/>
        <v>0</v>
      </c>
      <c r="W99" s="68">
        <f t="shared" si="267"/>
        <v>0</v>
      </c>
      <c r="X99" s="54">
        <f t="shared" si="253"/>
        <v>0</v>
      </c>
      <c r="Y99" s="54">
        <f t="shared" si="254"/>
        <v>0</v>
      </c>
      <c r="Z99" s="55">
        <f t="shared" si="268"/>
        <v>0</v>
      </c>
      <c r="AA99" s="55">
        <f t="shared" si="269"/>
        <v>0</v>
      </c>
      <c r="AB99" s="53">
        <f>D99*mmater*Parámetros!$G86*$X$5+AB98*(1+i_noc)</f>
        <v>0</v>
      </c>
      <c r="AC99" s="53">
        <f>E99*12*Parámetros!$F86*$X$5+AC98*(1+i_noc)</f>
        <v>1274194.1402613139</v>
      </c>
      <c r="AD99" s="53"/>
      <c r="AE99" s="53"/>
      <c r="AF99" s="175"/>
      <c r="AG99" s="74">
        <f t="shared" si="250"/>
        <v>0</v>
      </c>
      <c r="AH99" s="52">
        <f t="shared" si="251"/>
        <v>0</v>
      </c>
      <c r="AI99" s="56">
        <f t="shared" si="257"/>
        <v>0</v>
      </c>
      <c r="AJ99" s="56">
        <f t="shared" si="258"/>
        <v>0</v>
      </c>
      <c r="AK99" s="56"/>
      <c r="AL99" s="56"/>
      <c r="AM99" s="56"/>
      <c r="AN99" s="56"/>
      <c r="AO99" s="56">
        <f t="shared" si="259"/>
        <v>0</v>
      </c>
      <c r="AP99" s="56">
        <f t="shared" si="260"/>
        <v>0</v>
      </c>
      <c r="AQ99" s="53">
        <f t="shared" si="261"/>
        <v>0</v>
      </c>
      <c r="AR99" s="53">
        <f t="shared" si="262"/>
        <v>0</v>
      </c>
      <c r="AS99" s="39"/>
      <c r="AT99" s="68">
        <f t="shared" si="263"/>
        <v>0</v>
      </c>
      <c r="AU99" s="68">
        <f t="shared" si="264"/>
        <v>0</v>
      </c>
      <c r="AV99" s="68">
        <f t="shared" si="265"/>
        <v>0</v>
      </c>
      <c r="AW99" s="68">
        <f t="shared" si="252"/>
        <v>0</v>
      </c>
      <c r="AX99" s="39"/>
      <c r="AY99" s="39"/>
    </row>
    <row r="100" spans="1:52" x14ac:dyDescent="0.25">
      <c r="A100" s="30">
        <v>2065</v>
      </c>
      <c r="B100" s="33">
        <f>w_uf*UF*Parámetros!C87</f>
        <v>1431181.647831314</v>
      </c>
      <c r="C100" s="30">
        <f t="shared" si="247"/>
        <v>86</v>
      </c>
      <c r="D100" s="30">
        <f>((A100=Inputs!$C$12)*(Inputs!$D$12) + (A100=Inputs!$C$13)*(Inputs!$D$13) + (A100=Inputs!$C$14)*(Inputs!$D$14)) *(A100 &gt;= a_afil)*(A100&gt;=2024)</f>
        <v>0</v>
      </c>
      <c r="E100" s="30">
        <f>MIN(1,(A100=Inputs!$C$19)*Inputs!$D$19+(A100=Inputs!$C$20)*Inputs!$D$20+(A100=Inputs!$C$21)*Inputs!$D$21*(A100 &gt;= a_afil))</f>
        <v>0</v>
      </c>
      <c r="F100" s="30">
        <f t="shared" si="248"/>
        <v>0</v>
      </c>
      <c r="G100" s="30">
        <f t="shared" si="249"/>
        <v>0</v>
      </c>
      <c r="H100" s="30">
        <v>0.6430467963218689</v>
      </c>
      <c r="I100" s="37">
        <f t="shared" si="255"/>
        <v>0</v>
      </c>
      <c r="J100" s="37">
        <f t="shared" si="256"/>
        <v>0</v>
      </c>
      <c r="K100" s="30">
        <f>1*OR(Inputs!$D$17=$A100,Inputs!$E$17=$A100)*($E100=0)*(F100=1)</f>
        <v>0</v>
      </c>
      <c r="L100" s="30">
        <f>1*OR(Inputs!$D$17=$A100,Inputs!$E$17=$A100)*($E100=0)*(G100=1)</f>
        <v>0</v>
      </c>
      <c r="M100" s="73">
        <f t="shared" si="245"/>
        <v>0</v>
      </c>
      <c r="N100" s="73">
        <f t="shared" si="246"/>
        <v>0</v>
      </c>
      <c r="O100" s="55">
        <f>Parámetros!$E87*12*I100*$P$14</f>
        <v>0</v>
      </c>
      <c r="P100" s="55">
        <f>Parámetros!$E87*12*J100*$P$14</f>
        <v>0</v>
      </c>
      <c r="Q100" s="70">
        <f t="shared" si="225"/>
        <v>0</v>
      </c>
      <c r="R100" s="70">
        <f t="shared" si="226"/>
        <v>0</v>
      </c>
      <c r="S100" s="68">
        <f t="shared" si="270"/>
        <v>0</v>
      </c>
      <c r="T100" s="68">
        <f t="shared" si="271"/>
        <v>0</v>
      </c>
      <c r="U100" s="177"/>
      <c r="V100" s="68">
        <f t="shared" si="266"/>
        <v>0</v>
      </c>
      <c r="W100" s="68">
        <f t="shared" si="267"/>
        <v>0</v>
      </c>
      <c r="X100" s="54">
        <f t="shared" si="253"/>
        <v>0</v>
      </c>
      <c r="Y100" s="54">
        <f t="shared" si="254"/>
        <v>0</v>
      </c>
      <c r="Z100" s="55">
        <f t="shared" si="268"/>
        <v>0</v>
      </c>
      <c r="AA100" s="55">
        <f t="shared" si="269"/>
        <v>0</v>
      </c>
      <c r="AB100" s="53">
        <f>D100*mmater*Parámetros!$G87*$X$5+AB99*(1+i_noc)</f>
        <v>0</v>
      </c>
      <c r="AC100" s="53">
        <f>E100*12*Parámetros!$F87*$X$5+AC99*(1+i_noc)</f>
        <v>1299678.0230665402</v>
      </c>
      <c r="AD100" s="53"/>
      <c r="AE100" s="53"/>
      <c r="AF100" s="175"/>
      <c r="AG100" s="74">
        <f t="shared" si="250"/>
        <v>0</v>
      </c>
      <c r="AH100" s="52">
        <f t="shared" si="251"/>
        <v>0</v>
      </c>
      <c r="AI100" s="56">
        <f t="shared" si="257"/>
        <v>0</v>
      </c>
      <c r="AJ100" s="56">
        <f t="shared" si="258"/>
        <v>0</v>
      </c>
      <c r="AK100" s="56"/>
      <c r="AL100" s="56"/>
      <c r="AM100" s="56"/>
      <c r="AN100" s="56"/>
      <c r="AO100" s="56">
        <f t="shared" si="259"/>
        <v>0</v>
      </c>
      <c r="AP100" s="56">
        <f t="shared" si="260"/>
        <v>0</v>
      </c>
      <c r="AQ100" s="53">
        <f t="shared" si="261"/>
        <v>0</v>
      </c>
      <c r="AR100" s="53">
        <f t="shared" si="262"/>
        <v>0</v>
      </c>
      <c r="AS100" s="39"/>
      <c r="AT100" s="68">
        <f t="shared" si="263"/>
        <v>0</v>
      </c>
      <c r="AU100" s="68">
        <f t="shared" si="264"/>
        <v>0</v>
      </c>
      <c r="AV100" s="68">
        <f t="shared" si="265"/>
        <v>0</v>
      </c>
      <c r="AW100" s="68">
        <f t="shared" si="252"/>
        <v>0</v>
      </c>
      <c r="AX100" s="39"/>
      <c r="AY100" s="173"/>
      <c r="AZ100" s="173"/>
    </row>
    <row r="101" spans="1:52" x14ac:dyDescent="0.25">
      <c r="A101" s="30">
        <v>2066</v>
      </c>
      <c r="B101" s="33">
        <f>w_uf*UF*Parámetros!C88</f>
        <v>1449071.4184292057</v>
      </c>
      <c r="C101" s="30">
        <f t="shared" si="247"/>
        <v>87</v>
      </c>
      <c r="D101" s="30">
        <f>((A101=Inputs!$C$12)*(Inputs!$D$12) + (A101=Inputs!$C$13)*(Inputs!$D$13) + (A101=Inputs!$C$14)*(Inputs!$D$14)) *(A101 &gt;= a_afil)*(A101&gt;=2024)</f>
        <v>0</v>
      </c>
      <c r="E101" s="30">
        <f>MIN(1,(A101=Inputs!$C$19)*Inputs!$D$19+(A101=Inputs!$C$20)*Inputs!$D$20+(A101=Inputs!$C$21)*Inputs!$D$21*(A101 &gt;= a_afil))</f>
        <v>0</v>
      </c>
      <c r="F101" s="30">
        <f t="shared" si="248"/>
        <v>0</v>
      </c>
      <c r="G101" s="30">
        <f t="shared" si="249"/>
        <v>0</v>
      </c>
      <c r="H101" s="30">
        <v>0.84909999370574951</v>
      </c>
      <c r="I101" s="37">
        <f t="shared" si="255"/>
        <v>0</v>
      </c>
      <c r="J101" s="37">
        <f t="shared" si="256"/>
        <v>0</v>
      </c>
      <c r="K101" s="30">
        <f>1*OR(Inputs!$D$17=$A101,Inputs!$E$17=$A101)*($E101=0)*(F101=1)</f>
        <v>0</v>
      </c>
      <c r="L101" s="30">
        <f>1*OR(Inputs!$D$17=$A101,Inputs!$E$17=$A101)*($E101=0)*(G101=1)</f>
        <v>0</v>
      </c>
      <c r="M101" s="73">
        <f t="shared" si="245"/>
        <v>0</v>
      </c>
      <c r="N101" s="73">
        <f t="shared" si="246"/>
        <v>0</v>
      </c>
      <c r="O101" s="55">
        <f>Parámetros!$E88*12*I101*$P$14</f>
        <v>0</v>
      </c>
      <c r="P101" s="55">
        <f>Parámetros!$E88*12*J101*$P$14</f>
        <v>0</v>
      </c>
      <c r="Q101" s="70">
        <f t="shared" si="225"/>
        <v>0</v>
      </c>
      <c r="R101" s="70">
        <f t="shared" si="226"/>
        <v>0</v>
      </c>
      <c r="S101" s="68">
        <f t="shared" si="270"/>
        <v>0</v>
      </c>
      <c r="T101" s="68">
        <f t="shared" si="271"/>
        <v>0</v>
      </c>
      <c r="U101" s="177"/>
      <c r="V101" s="68">
        <f t="shared" si="266"/>
        <v>0</v>
      </c>
      <c r="W101" s="68">
        <f t="shared" si="267"/>
        <v>0</v>
      </c>
      <c r="X101" s="54">
        <f t="shared" si="253"/>
        <v>0</v>
      </c>
      <c r="Y101" s="54">
        <f t="shared" si="254"/>
        <v>0</v>
      </c>
      <c r="Z101" s="55">
        <f t="shared" si="268"/>
        <v>0</v>
      </c>
      <c r="AA101" s="55">
        <f t="shared" si="269"/>
        <v>0</v>
      </c>
      <c r="AB101" s="53">
        <f>D101*mmater*Parámetros!$G88*$X$5+AB100*(1+i_noc)</f>
        <v>0</v>
      </c>
      <c r="AC101" s="53">
        <f>E101*12*Parámetros!$F88*$X$5+AC100*(1+i_noc)</f>
        <v>1325671.5835278712</v>
      </c>
      <c r="AD101" s="53"/>
      <c r="AE101" s="53"/>
      <c r="AF101" s="175"/>
      <c r="AG101" s="74">
        <f t="shared" si="250"/>
        <v>0</v>
      </c>
      <c r="AH101" s="52">
        <f t="shared" si="251"/>
        <v>0</v>
      </c>
      <c r="AI101" s="56">
        <f t="shared" si="257"/>
        <v>0</v>
      </c>
      <c r="AJ101" s="56">
        <f t="shared" si="258"/>
        <v>0</v>
      </c>
      <c r="AK101" s="56"/>
      <c r="AL101" s="56"/>
      <c r="AM101" s="56"/>
      <c r="AN101" s="56"/>
      <c r="AO101" s="56">
        <f t="shared" si="259"/>
        <v>0</v>
      </c>
      <c r="AP101" s="56">
        <f t="shared" si="260"/>
        <v>0</v>
      </c>
      <c r="AQ101" s="53">
        <f t="shared" si="261"/>
        <v>0</v>
      </c>
      <c r="AR101" s="53">
        <f t="shared" si="262"/>
        <v>0</v>
      </c>
      <c r="AS101" s="39"/>
      <c r="AT101" s="68">
        <f t="shared" si="263"/>
        <v>0</v>
      </c>
      <c r="AU101" s="68">
        <f t="shared" si="264"/>
        <v>0</v>
      </c>
      <c r="AV101" s="68">
        <f t="shared" si="265"/>
        <v>0</v>
      </c>
      <c r="AW101" s="68">
        <f t="shared" si="252"/>
        <v>0</v>
      </c>
      <c r="AX101" s="39"/>
      <c r="AY101" s="39"/>
      <c r="AZ101" s="173"/>
    </row>
    <row r="102" spans="1:52" x14ac:dyDescent="0.25">
      <c r="A102" s="30">
        <v>2067</v>
      </c>
      <c r="B102" s="33">
        <f>w_uf*UF*Parámetros!C89</f>
        <v>1467184.8111595705</v>
      </c>
      <c r="C102" s="30">
        <f t="shared" si="247"/>
        <v>88</v>
      </c>
      <c r="D102" s="30">
        <f>((A102=Inputs!$C$12)*(Inputs!$D$12) + (A102=Inputs!$C$13)*(Inputs!$D$13) + (A102=Inputs!$C$14)*(Inputs!$D$14)) *(A102 &gt;= a_afil)*(A102&gt;=2024)</f>
        <v>0</v>
      </c>
      <c r="E102" s="30">
        <f>MIN(1,(A102=Inputs!$C$19)*Inputs!$D$19+(A102=Inputs!$C$20)*Inputs!$D$20+(A102=Inputs!$C$21)*Inputs!$D$21*(A102 &gt;= a_afil))</f>
        <v>0</v>
      </c>
      <c r="F102" s="30">
        <f t="shared" si="248"/>
        <v>0</v>
      </c>
      <c r="G102" s="30">
        <f t="shared" si="249"/>
        <v>0</v>
      </c>
      <c r="H102" s="30">
        <v>0.49796921014785767</v>
      </c>
      <c r="I102" s="37">
        <f t="shared" si="255"/>
        <v>0</v>
      </c>
      <c r="J102" s="37">
        <f t="shared" si="256"/>
        <v>0</v>
      </c>
      <c r="K102" s="30">
        <f>1*OR(Inputs!$D$17=$A102,Inputs!$E$17=$A102)*($E102=0)*(F102=1)</f>
        <v>0</v>
      </c>
      <c r="L102" s="30">
        <f>1*OR(Inputs!$D$17=$A102,Inputs!$E$17=$A102)*($E102=0)*(G102=1)</f>
        <v>0</v>
      </c>
      <c r="M102" s="73">
        <f t="shared" si="245"/>
        <v>0</v>
      </c>
      <c r="N102" s="73">
        <f t="shared" si="246"/>
        <v>0</v>
      </c>
      <c r="O102" s="55">
        <f>Parámetros!$E89*12*I102*$P$14</f>
        <v>0</v>
      </c>
      <c r="P102" s="55">
        <f>Parámetros!$E89*12*J102*$P$14</f>
        <v>0</v>
      </c>
      <c r="Q102" s="70">
        <f t="shared" si="225"/>
        <v>0</v>
      </c>
      <c r="R102" s="70">
        <f t="shared" si="226"/>
        <v>0</v>
      </c>
      <c r="S102" s="68">
        <f t="shared" si="270"/>
        <v>0</v>
      </c>
      <c r="T102" s="68">
        <f t="shared" si="271"/>
        <v>0</v>
      </c>
      <c r="U102" s="177"/>
      <c r="V102" s="68">
        <f t="shared" si="266"/>
        <v>0</v>
      </c>
      <c r="W102" s="68">
        <f t="shared" si="267"/>
        <v>0</v>
      </c>
      <c r="X102" s="54">
        <f t="shared" si="253"/>
        <v>0</v>
      </c>
      <c r="Y102" s="54">
        <f t="shared" si="254"/>
        <v>0</v>
      </c>
      <c r="Z102" s="55">
        <f t="shared" si="268"/>
        <v>0</v>
      </c>
      <c r="AA102" s="55">
        <f t="shared" si="269"/>
        <v>0</v>
      </c>
      <c r="AB102" s="53">
        <f>D102*mmater*Parámetros!$G89*$X$5+AB101*(1+i_noc)</f>
        <v>0</v>
      </c>
      <c r="AC102" s="53">
        <f>E102*12*Parámetros!$F89*$X$5+AC101*(1+i_noc)</f>
        <v>1352185.0151984286</v>
      </c>
      <c r="AD102" s="53"/>
      <c r="AE102" s="53"/>
      <c r="AF102" s="175"/>
      <c r="AG102" s="74">
        <f t="shared" si="250"/>
        <v>0</v>
      </c>
      <c r="AH102" s="52">
        <f t="shared" si="251"/>
        <v>0</v>
      </c>
      <c r="AI102" s="56">
        <f t="shared" si="257"/>
        <v>0</v>
      </c>
      <c r="AJ102" s="56">
        <f t="shared" si="258"/>
        <v>0</v>
      </c>
      <c r="AK102" s="56"/>
      <c r="AL102" s="56"/>
      <c r="AM102" s="56"/>
      <c r="AN102" s="56"/>
      <c r="AO102" s="56">
        <f t="shared" si="259"/>
        <v>0</v>
      </c>
      <c r="AP102" s="56">
        <f t="shared" si="260"/>
        <v>0</v>
      </c>
      <c r="AQ102" s="53">
        <f t="shared" si="261"/>
        <v>0</v>
      </c>
      <c r="AR102" s="53">
        <f t="shared" si="262"/>
        <v>0</v>
      </c>
      <c r="AS102" s="39"/>
      <c r="AT102" s="68">
        <f t="shared" si="263"/>
        <v>0</v>
      </c>
      <c r="AU102" s="68">
        <f t="shared" si="264"/>
        <v>0</v>
      </c>
      <c r="AV102" s="68">
        <f t="shared" si="265"/>
        <v>0</v>
      </c>
      <c r="AW102" s="68">
        <f t="shared" si="252"/>
        <v>0</v>
      </c>
      <c r="AX102" s="39"/>
      <c r="AY102" s="39"/>
    </row>
    <row r="103" spans="1:52" x14ac:dyDescent="0.25">
      <c r="A103" s="30">
        <v>2068</v>
      </c>
      <c r="B103" s="33">
        <f>w_uf*UF*Parámetros!C90</f>
        <v>1485524.621299065</v>
      </c>
      <c r="C103" s="30">
        <f t="shared" si="247"/>
        <v>89</v>
      </c>
      <c r="D103" s="30">
        <f>((A103=Inputs!$C$12)*(Inputs!$D$12) + (A103=Inputs!$C$13)*(Inputs!$D$13) + (A103=Inputs!$C$14)*(Inputs!$D$14)) *(A103 &gt;= a_afil)*(A103&gt;=2024)</f>
        <v>0</v>
      </c>
      <c r="E103" s="30">
        <f>MIN(1,(A103=Inputs!$C$19)*Inputs!$D$19+(A103=Inputs!$C$20)*Inputs!$D$20+(A103=Inputs!$C$21)*Inputs!$D$21*(A103 &gt;= a_afil))</f>
        <v>0</v>
      </c>
      <c r="F103" s="30">
        <f t="shared" si="248"/>
        <v>0</v>
      </c>
      <c r="G103" s="30">
        <f t="shared" si="249"/>
        <v>0</v>
      </c>
      <c r="H103" s="30">
        <v>0.1877751350402832</v>
      </c>
      <c r="I103" s="37">
        <f t="shared" si="255"/>
        <v>0</v>
      </c>
      <c r="J103" s="37">
        <f t="shared" si="256"/>
        <v>0</v>
      </c>
      <c r="K103" s="30">
        <f>1*OR(Inputs!$D$17=$A103,Inputs!$E$17=$A103)*($E103=0)*(F103=1)</f>
        <v>0</v>
      </c>
      <c r="L103" s="30">
        <f>1*OR(Inputs!$D$17=$A103,Inputs!$E$17=$A103)*($E103=0)*(G103=1)</f>
        <v>0</v>
      </c>
      <c r="M103" s="73">
        <f t="shared" si="245"/>
        <v>0</v>
      </c>
      <c r="N103" s="73">
        <f t="shared" si="246"/>
        <v>0</v>
      </c>
      <c r="O103" s="55">
        <f>Parámetros!$E90*12*I103*$P$14</f>
        <v>0</v>
      </c>
      <c r="P103" s="55">
        <f>Parámetros!$E90*12*J103*$P$14</f>
        <v>0</v>
      </c>
      <c r="Q103" s="70">
        <f t="shared" si="225"/>
        <v>0</v>
      </c>
      <c r="R103" s="70">
        <f t="shared" si="226"/>
        <v>0</v>
      </c>
      <c r="S103" s="68">
        <f t="shared" si="270"/>
        <v>0</v>
      </c>
      <c r="T103" s="68">
        <f t="shared" si="271"/>
        <v>0</v>
      </c>
      <c r="U103" s="177"/>
      <c r="V103" s="68">
        <f t="shared" si="266"/>
        <v>0</v>
      </c>
      <c r="W103" s="68">
        <f t="shared" si="267"/>
        <v>0</v>
      </c>
      <c r="X103" s="54">
        <f t="shared" si="253"/>
        <v>0</v>
      </c>
      <c r="Y103" s="54">
        <f t="shared" si="254"/>
        <v>0</v>
      </c>
      <c r="Z103" s="55">
        <f t="shared" si="268"/>
        <v>0</v>
      </c>
      <c r="AA103" s="55">
        <f t="shared" si="269"/>
        <v>0</v>
      </c>
      <c r="AB103" s="53">
        <f>D103*mmater*Parámetros!$G90*$X$5+AB102*(1+i_noc)</f>
        <v>0</v>
      </c>
      <c r="AC103" s="53">
        <f>E103*12*Parámetros!$F90*$X$5+AC102*(1+i_noc)</f>
        <v>1379228.7155023972</v>
      </c>
      <c r="AD103" s="53"/>
      <c r="AE103" s="53"/>
      <c r="AF103" s="175"/>
      <c r="AG103" s="74">
        <f t="shared" si="250"/>
        <v>0</v>
      </c>
      <c r="AH103" s="52">
        <f t="shared" si="251"/>
        <v>0</v>
      </c>
      <c r="AI103" s="56">
        <f t="shared" si="257"/>
        <v>0</v>
      </c>
      <c r="AJ103" s="56">
        <f t="shared" si="258"/>
        <v>0</v>
      </c>
      <c r="AK103" s="56"/>
      <c r="AL103" s="56"/>
      <c r="AM103" s="56"/>
      <c r="AN103" s="56"/>
      <c r="AO103" s="56">
        <f t="shared" si="259"/>
        <v>0</v>
      </c>
      <c r="AP103" s="56">
        <f t="shared" si="260"/>
        <v>0</v>
      </c>
      <c r="AQ103" s="53">
        <f t="shared" si="261"/>
        <v>0</v>
      </c>
      <c r="AR103" s="53">
        <f t="shared" si="262"/>
        <v>0</v>
      </c>
      <c r="AS103" s="39"/>
      <c r="AT103" s="68">
        <f t="shared" si="263"/>
        <v>0</v>
      </c>
      <c r="AU103" s="68">
        <f t="shared" si="264"/>
        <v>0</v>
      </c>
      <c r="AV103" s="68">
        <f t="shared" si="265"/>
        <v>0</v>
      </c>
      <c r="AW103" s="68">
        <f t="shared" si="252"/>
        <v>0</v>
      </c>
      <c r="AX103" s="39"/>
      <c r="AY103" s="39"/>
    </row>
    <row r="104" spans="1:52" x14ac:dyDescent="0.25">
      <c r="A104" s="30">
        <v>2069</v>
      </c>
      <c r="B104" s="33">
        <f>w_uf*UF*Parámetros!C91</f>
        <v>1504093.6790653034</v>
      </c>
      <c r="C104" s="30">
        <f t="shared" si="247"/>
        <v>90</v>
      </c>
      <c r="D104" s="30">
        <f>((A104=Inputs!$C$12)*(Inputs!$D$12) + (A104=Inputs!$C$13)*(Inputs!$D$13) + (A104=Inputs!$C$14)*(Inputs!$D$14)) *(A104 &gt;= a_afil)*(A104&gt;=2024)</f>
        <v>0</v>
      </c>
      <c r="E104" s="30">
        <f>MIN(1,(A104=Inputs!$C$19)*Inputs!$D$19+(A104=Inputs!$C$20)*Inputs!$D$20+(A104=Inputs!$C$21)*Inputs!$D$21*(A104 &gt;= a_afil))</f>
        <v>0</v>
      </c>
      <c r="F104" s="30">
        <f t="shared" si="248"/>
        <v>0</v>
      </c>
      <c r="G104" s="30">
        <f t="shared" si="249"/>
        <v>0</v>
      </c>
      <c r="H104" s="30">
        <v>0.89661663770675659</v>
      </c>
      <c r="I104" s="37">
        <f t="shared" si="255"/>
        <v>0</v>
      </c>
      <c r="J104" s="37">
        <f t="shared" si="256"/>
        <v>0</v>
      </c>
      <c r="K104" s="30">
        <f>1*OR(Inputs!$D$17=$A104,Inputs!$E$17=$A104)*($E104=0)*(F104=1)</f>
        <v>0</v>
      </c>
      <c r="L104" s="30">
        <f>1*OR(Inputs!$D$17=$A104,Inputs!$E$17=$A104)*($E104=0)*(G104=1)</f>
        <v>0</v>
      </c>
      <c r="M104" s="73">
        <f t="shared" si="245"/>
        <v>0</v>
      </c>
      <c r="N104" s="73">
        <f t="shared" si="246"/>
        <v>0</v>
      </c>
      <c r="O104" s="55">
        <f>Parámetros!$E91*12*I104*$P$14</f>
        <v>0</v>
      </c>
      <c r="P104" s="55">
        <f>Parámetros!$E91*12*J104*$P$14</f>
        <v>0</v>
      </c>
      <c r="Q104" s="70">
        <f t="shared" si="225"/>
        <v>0</v>
      </c>
      <c r="R104" s="70">
        <f t="shared" si="226"/>
        <v>0</v>
      </c>
      <c r="S104" s="68">
        <f t="shared" si="270"/>
        <v>0</v>
      </c>
      <c r="T104" s="68">
        <f t="shared" si="271"/>
        <v>0</v>
      </c>
      <c r="U104" s="177"/>
      <c r="V104" s="68">
        <f t="shared" si="266"/>
        <v>0</v>
      </c>
      <c r="W104" s="68">
        <f t="shared" si="267"/>
        <v>0</v>
      </c>
      <c r="X104" s="54">
        <f t="shared" si="253"/>
        <v>0</v>
      </c>
      <c r="Y104" s="54">
        <f t="shared" si="254"/>
        <v>0</v>
      </c>
      <c r="Z104" s="55">
        <f t="shared" si="268"/>
        <v>0</v>
      </c>
      <c r="AA104" s="55">
        <f t="shared" si="269"/>
        <v>0</v>
      </c>
      <c r="AB104" s="53">
        <f>D104*mmater*Parámetros!$G91*$X$5+AB103*(1+i_noc)</f>
        <v>0</v>
      </c>
      <c r="AC104" s="53">
        <f>E104*12*Parámetros!$F91*$X$5+AC103*(1+i_noc)</f>
        <v>1406813.2898124452</v>
      </c>
      <c r="AD104" s="53"/>
      <c r="AE104" s="53"/>
      <c r="AF104" s="175"/>
      <c r="AG104" s="74">
        <f t="shared" si="250"/>
        <v>0</v>
      </c>
      <c r="AH104" s="52">
        <f t="shared" si="251"/>
        <v>0</v>
      </c>
      <c r="AI104" s="56">
        <f t="shared" si="257"/>
        <v>0</v>
      </c>
      <c r="AJ104" s="56">
        <f t="shared" si="258"/>
        <v>0</v>
      </c>
      <c r="AK104" s="56"/>
      <c r="AL104" s="56"/>
      <c r="AM104" s="56"/>
      <c r="AN104" s="56"/>
      <c r="AO104" s="56">
        <f t="shared" si="259"/>
        <v>0</v>
      </c>
      <c r="AP104" s="56">
        <f t="shared" si="260"/>
        <v>0</v>
      </c>
      <c r="AQ104" s="53">
        <f t="shared" si="261"/>
        <v>0</v>
      </c>
      <c r="AR104" s="53">
        <f t="shared" si="262"/>
        <v>0</v>
      </c>
      <c r="AS104" s="39"/>
      <c r="AT104" s="68">
        <f t="shared" si="263"/>
        <v>0</v>
      </c>
      <c r="AU104" s="68">
        <f t="shared" si="264"/>
        <v>0</v>
      </c>
      <c r="AV104" s="68">
        <f t="shared" si="265"/>
        <v>0</v>
      </c>
      <c r="AW104" s="68">
        <f t="shared" si="252"/>
        <v>0</v>
      </c>
      <c r="AX104" s="39"/>
      <c r="AY104" s="39"/>
    </row>
    <row r="105" spans="1:52" x14ac:dyDescent="0.25">
      <c r="A105" s="30">
        <v>2070</v>
      </c>
      <c r="B105" s="33">
        <f>w_uf*UF*Parámetros!C92</f>
        <v>1522894.8500536196</v>
      </c>
      <c r="C105" s="30">
        <f t="shared" si="247"/>
        <v>91</v>
      </c>
      <c r="D105" s="30">
        <f>((A105=Inputs!$C$12)*(Inputs!$D$12) + (A105=Inputs!$C$13)*(Inputs!$D$13) + (A105=Inputs!$C$14)*(Inputs!$D$14)) *(A105 &gt;= a_afil)*(A105&gt;=2024)</f>
        <v>0</v>
      </c>
      <c r="E105" s="30">
        <f>MIN(1,(A105=Inputs!$C$19)*Inputs!$D$19+(A105=Inputs!$C$20)*Inputs!$D$20+(A105=Inputs!$C$21)*Inputs!$D$21*(A105 &gt;= a_afil))</f>
        <v>0</v>
      </c>
      <c r="F105" s="30">
        <f t="shared" si="248"/>
        <v>0</v>
      </c>
      <c r="G105" s="30">
        <f t="shared" si="249"/>
        <v>0</v>
      </c>
      <c r="H105" s="30">
        <v>0.37281429767608643</v>
      </c>
      <c r="I105" s="37">
        <f t="shared" si="255"/>
        <v>0</v>
      </c>
      <c r="J105" s="37">
        <f t="shared" si="256"/>
        <v>0</v>
      </c>
      <c r="K105" s="30">
        <f>1*OR(Inputs!$D$17=$A105,Inputs!$E$17=$A105)*($E105=0)*(F105=1)</f>
        <v>0</v>
      </c>
      <c r="L105" s="30">
        <f>1*OR(Inputs!$D$17=$A105,Inputs!$E$17=$A105)*($E105=0)*(G105=1)</f>
        <v>0</v>
      </c>
      <c r="M105" s="73">
        <f t="shared" si="245"/>
        <v>0</v>
      </c>
      <c r="N105" s="73">
        <f t="shared" si="246"/>
        <v>0</v>
      </c>
      <c r="O105" s="55">
        <f>Parámetros!$E92*12*I105*$P$14</f>
        <v>0</v>
      </c>
      <c r="P105" s="55">
        <f>Parámetros!$E92*12*J105*$P$14</f>
        <v>0</v>
      </c>
      <c r="Q105" s="70">
        <f t="shared" si="225"/>
        <v>0</v>
      </c>
      <c r="R105" s="70">
        <f t="shared" si="226"/>
        <v>0</v>
      </c>
      <c r="S105" s="68">
        <f t="shared" si="270"/>
        <v>0</v>
      </c>
      <c r="T105" s="68">
        <f t="shared" si="271"/>
        <v>0</v>
      </c>
      <c r="U105" s="177"/>
      <c r="V105" s="68">
        <f t="shared" si="266"/>
        <v>0</v>
      </c>
      <c r="W105" s="68">
        <f t="shared" si="267"/>
        <v>0</v>
      </c>
      <c r="X105" s="54">
        <f t="shared" si="253"/>
        <v>0</v>
      </c>
      <c r="Y105" s="54">
        <f t="shared" si="254"/>
        <v>0</v>
      </c>
      <c r="Z105" s="55">
        <f t="shared" si="268"/>
        <v>0</v>
      </c>
      <c r="AA105" s="55">
        <f t="shared" si="269"/>
        <v>0</v>
      </c>
      <c r="AB105" s="53">
        <f>D105*mmater*Parámetros!$G92*$X$5+AB104*(1+i_noc)</f>
        <v>0</v>
      </c>
      <c r="AC105" s="53">
        <f>E105*12*Parámetros!$F92*$X$5+AC104*(1+i_noc)</f>
        <v>1434949.5556086942</v>
      </c>
      <c r="AD105" s="53"/>
      <c r="AE105" s="53"/>
      <c r="AF105" s="175"/>
      <c r="AG105" s="74">
        <f t="shared" si="250"/>
        <v>0</v>
      </c>
      <c r="AH105" s="52">
        <f t="shared" si="251"/>
        <v>0</v>
      </c>
      <c r="AI105" s="56">
        <f t="shared" si="257"/>
        <v>0</v>
      </c>
      <c r="AJ105" s="56">
        <f t="shared" si="258"/>
        <v>0</v>
      </c>
      <c r="AK105" s="56"/>
      <c r="AL105" s="56"/>
      <c r="AM105" s="56"/>
      <c r="AN105" s="56"/>
      <c r="AO105" s="56">
        <f t="shared" si="259"/>
        <v>0</v>
      </c>
      <c r="AP105" s="56">
        <f t="shared" si="260"/>
        <v>0</v>
      </c>
      <c r="AQ105" s="53">
        <f t="shared" si="261"/>
        <v>0</v>
      </c>
      <c r="AR105" s="53">
        <f t="shared" si="262"/>
        <v>0</v>
      </c>
      <c r="AS105" s="39"/>
      <c r="AT105" s="68">
        <f t="shared" si="263"/>
        <v>0</v>
      </c>
      <c r="AU105" s="68">
        <f t="shared" si="264"/>
        <v>0</v>
      </c>
      <c r="AV105" s="68">
        <f t="shared" si="265"/>
        <v>0</v>
      </c>
      <c r="AW105" s="68">
        <f t="shared" si="252"/>
        <v>0</v>
      </c>
      <c r="AX105" s="39"/>
      <c r="AY105" s="39"/>
      <c r="AZ105" s="173"/>
    </row>
    <row r="106" spans="1:52" x14ac:dyDescent="0.25">
      <c r="A106" s="30">
        <v>2071</v>
      </c>
      <c r="B106" s="33">
        <f>w_uf*UF*Parámetros!C93</f>
        <v>1541931.0356792898</v>
      </c>
      <c r="C106" s="30">
        <f t="shared" si="247"/>
        <v>92</v>
      </c>
      <c r="D106" s="30">
        <f>((A106=Inputs!$C$12)*(Inputs!$D$12) + (A106=Inputs!$C$13)*(Inputs!$D$13) + (A106=Inputs!$C$14)*(Inputs!$D$14)) *(A106 &gt;= a_afil)*(A106&gt;=2024)</f>
        <v>0</v>
      </c>
      <c r="E106" s="30">
        <f>MIN(1,(A106=Inputs!$C$19)*Inputs!$D$19+(A106=Inputs!$C$20)*Inputs!$D$20+(A106=Inputs!$C$21)*Inputs!$D$21*(A106 &gt;= a_afil))</f>
        <v>0</v>
      </c>
      <c r="F106" s="30">
        <f t="shared" si="248"/>
        <v>0</v>
      </c>
      <c r="G106" s="30">
        <f t="shared" si="249"/>
        <v>0</v>
      </c>
      <c r="H106" s="30">
        <v>0.32355481386184692</v>
      </c>
      <c r="I106" s="37">
        <f t="shared" si="255"/>
        <v>0</v>
      </c>
      <c r="J106" s="37">
        <f t="shared" si="256"/>
        <v>0</v>
      </c>
      <c r="K106" s="30">
        <f>1*OR(Inputs!$D$17=$A106,Inputs!$E$17=$A106)*($E106=0)*(F106=1)</f>
        <v>0</v>
      </c>
      <c r="L106" s="30">
        <f>1*OR(Inputs!$D$17=$A106,Inputs!$E$17=$A106)*($E106=0)*(G106=1)</f>
        <v>0</v>
      </c>
      <c r="M106" s="73">
        <f t="shared" si="245"/>
        <v>0</v>
      </c>
      <c r="N106" s="73">
        <f t="shared" si="246"/>
        <v>0</v>
      </c>
      <c r="O106" s="55">
        <f>Parámetros!$E93*12*I106*$P$14</f>
        <v>0</v>
      </c>
      <c r="P106" s="55">
        <f>Parámetros!$E93*12*J106*$P$14</f>
        <v>0</v>
      </c>
      <c r="Q106" s="70">
        <f t="shared" si="225"/>
        <v>0</v>
      </c>
      <c r="R106" s="70">
        <f t="shared" si="226"/>
        <v>0</v>
      </c>
      <c r="S106" s="68">
        <f t="shared" si="270"/>
        <v>0</v>
      </c>
      <c r="T106" s="68">
        <f t="shared" si="271"/>
        <v>0</v>
      </c>
      <c r="U106" s="177"/>
      <c r="V106" s="68">
        <f t="shared" si="266"/>
        <v>0</v>
      </c>
      <c r="W106" s="68">
        <f t="shared" si="267"/>
        <v>0</v>
      </c>
      <c r="X106" s="54">
        <f t="shared" si="253"/>
        <v>0</v>
      </c>
      <c r="Y106" s="54">
        <f t="shared" si="254"/>
        <v>0</v>
      </c>
      <c r="Z106" s="55">
        <f t="shared" si="268"/>
        <v>0</v>
      </c>
      <c r="AA106" s="55">
        <f t="shared" si="269"/>
        <v>0</v>
      </c>
      <c r="AB106" s="53">
        <f>D106*mmater*Parámetros!$G93*$X$5+AB105*(1+i_noc)</f>
        <v>0</v>
      </c>
      <c r="AC106" s="53">
        <f>E106*12*Parámetros!$F93*$X$5+AC105*(1+i_noc)</f>
        <v>1463648.5467208682</v>
      </c>
      <c r="AD106" s="53"/>
      <c r="AE106" s="53"/>
      <c r="AF106" s="175"/>
      <c r="AG106" s="74">
        <f t="shared" si="250"/>
        <v>0</v>
      </c>
      <c r="AH106" s="52">
        <f t="shared" si="251"/>
        <v>0</v>
      </c>
      <c r="AI106" s="56">
        <f t="shared" si="257"/>
        <v>0</v>
      </c>
      <c r="AJ106" s="56">
        <f t="shared" si="258"/>
        <v>0</v>
      </c>
      <c r="AK106" s="56"/>
      <c r="AL106" s="56"/>
      <c r="AM106" s="56"/>
      <c r="AN106" s="56"/>
      <c r="AO106" s="56">
        <f t="shared" si="259"/>
        <v>0</v>
      </c>
      <c r="AP106" s="56">
        <f t="shared" si="260"/>
        <v>0</v>
      </c>
      <c r="AQ106" s="53">
        <f t="shared" si="261"/>
        <v>0</v>
      </c>
      <c r="AR106" s="53">
        <f t="shared" si="262"/>
        <v>0</v>
      </c>
      <c r="AS106" s="39"/>
      <c r="AT106" s="68">
        <f t="shared" si="263"/>
        <v>0</v>
      </c>
      <c r="AU106" s="68">
        <f t="shared" si="264"/>
        <v>0</v>
      </c>
      <c r="AV106" s="68">
        <f t="shared" si="265"/>
        <v>0</v>
      </c>
      <c r="AW106" s="68">
        <f t="shared" si="252"/>
        <v>0</v>
      </c>
      <c r="AX106" s="39"/>
      <c r="AY106" s="39"/>
    </row>
    <row r="107" spans="1:52" x14ac:dyDescent="0.25">
      <c r="A107" s="30">
        <v>2072</v>
      </c>
      <c r="B107" s="33">
        <f>w_uf*UF*Parámetros!C94</f>
        <v>1561205.1736252808</v>
      </c>
      <c r="C107" s="30">
        <f t="shared" si="247"/>
        <v>93</v>
      </c>
      <c r="D107" s="30">
        <f>((A107=Inputs!$C$12)*(Inputs!$D$12) + (A107=Inputs!$C$13)*(Inputs!$D$13) + (A107=Inputs!$C$14)*(Inputs!$D$14)) *(A107 &gt;= a_afil)*(A107&gt;=2024)</f>
        <v>0</v>
      </c>
      <c r="E107" s="30">
        <f>MIN(1,(A107=Inputs!$C$19)*Inputs!$D$19+(A107=Inputs!$C$20)*Inputs!$D$20+(A107=Inputs!$C$21)*Inputs!$D$21*(A107 &gt;= a_afil))</f>
        <v>0</v>
      </c>
      <c r="F107" s="30">
        <f t="shared" si="248"/>
        <v>0</v>
      </c>
      <c r="G107" s="30">
        <f t="shared" si="249"/>
        <v>0</v>
      </c>
      <c r="H107" s="30">
        <v>0.77083277702331543</v>
      </c>
      <c r="I107" s="37">
        <f t="shared" si="255"/>
        <v>0</v>
      </c>
      <c r="J107" s="37">
        <f t="shared" si="256"/>
        <v>0</v>
      </c>
      <c r="K107" s="30">
        <f>1*OR(Inputs!$D$17=$A107,Inputs!$E$17=$A107)*($E107=0)*(F107=1)</f>
        <v>0</v>
      </c>
      <c r="L107" s="30">
        <f>1*OR(Inputs!$D$17=$A107,Inputs!$E$17=$A107)*($E107=0)*(G107=1)</f>
        <v>0</v>
      </c>
      <c r="M107" s="73">
        <f t="shared" si="245"/>
        <v>0</v>
      </c>
      <c r="N107" s="73">
        <f t="shared" si="246"/>
        <v>0</v>
      </c>
      <c r="O107" s="55">
        <f>Parámetros!$E94*12*I107*$P$14</f>
        <v>0</v>
      </c>
      <c r="P107" s="55">
        <f>Parámetros!$E94*12*J107*$P$14</f>
        <v>0</v>
      </c>
      <c r="Q107" s="70">
        <f t="shared" si="225"/>
        <v>0</v>
      </c>
      <c r="R107" s="70">
        <f t="shared" si="226"/>
        <v>0</v>
      </c>
      <c r="S107" s="68">
        <f t="shared" si="270"/>
        <v>0</v>
      </c>
      <c r="T107" s="68">
        <f t="shared" si="271"/>
        <v>0</v>
      </c>
      <c r="U107" s="177"/>
      <c r="V107" s="68">
        <f t="shared" si="266"/>
        <v>0</v>
      </c>
      <c r="W107" s="68">
        <f t="shared" si="267"/>
        <v>0</v>
      </c>
      <c r="X107" s="54">
        <f t="shared" si="253"/>
        <v>0</v>
      </c>
      <c r="Y107" s="54">
        <f t="shared" si="254"/>
        <v>0</v>
      </c>
      <c r="Z107" s="55">
        <f t="shared" si="268"/>
        <v>0</v>
      </c>
      <c r="AA107" s="55">
        <f t="shared" si="269"/>
        <v>0</v>
      </c>
      <c r="AB107" s="53">
        <f>D107*mmater*Parámetros!$G94*$X$5+AB106*(1+i_noc)</f>
        <v>0</v>
      </c>
      <c r="AC107" s="53">
        <f>E107*12*Parámetros!$F94*$X$5+AC106*(1+i_noc)</f>
        <v>1492921.5176552855</v>
      </c>
      <c r="AD107" s="53"/>
      <c r="AE107" s="53"/>
      <c r="AF107" s="175"/>
      <c r="AG107" s="74">
        <f t="shared" si="250"/>
        <v>0</v>
      </c>
      <c r="AH107" s="52">
        <f t="shared" si="251"/>
        <v>0</v>
      </c>
      <c r="AI107" s="56">
        <f t="shared" si="257"/>
        <v>0</v>
      </c>
      <c r="AJ107" s="56">
        <f t="shared" si="258"/>
        <v>0</v>
      </c>
      <c r="AK107" s="56"/>
      <c r="AL107" s="56"/>
      <c r="AM107" s="56"/>
      <c r="AN107" s="56"/>
      <c r="AO107" s="56">
        <f t="shared" si="259"/>
        <v>0</v>
      </c>
      <c r="AP107" s="56">
        <f t="shared" si="260"/>
        <v>0</v>
      </c>
      <c r="AQ107" s="53">
        <f t="shared" si="261"/>
        <v>0</v>
      </c>
      <c r="AR107" s="53">
        <f t="shared" si="262"/>
        <v>0</v>
      </c>
      <c r="AS107" s="39"/>
      <c r="AT107" s="68">
        <f t="shared" si="263"/>
        <v>0</v>
      </c>
      <c r="AU107" s="68">
        <f t="shared" si="264"/>
        <v>0</v>
      </c>
      <c r="AV107" s="68">
        <f t="shared" si="265"/>
        <v>0</v>
      </c>
      <c r="AW107" s="68">
        <f t="shared" si="252"/>
        <v>0</v>
      </c>
      <c r="AX107" s="39"/>
      <c r="AY107" s="39"/>
    </row>
    <row r="108" spans="1:52" x14ac:dyDescent="0.25">
      <c r="A108" s="30">
        <v>2073</v>
      </c>
      <c r="B108" s="33">
        <f>w_uf*UF*Parámetros!C95</f>
        <v>1580720.2382955968</v>
      </c>
      <c r="C108" s="30">
        <f t="shared" si="247"/>
        <v>94</v>
      </c>
      <c r="D108" s="30">
        <f>((A108=Inputs!$C$12)*(Inputs!$D$12) + (A108=Inputs!$C$13)*(Inputs!$D$13) + (A108=Inputs!$C$14)*(Inputs!$D$14)) *(A108 &gt;= a_afil)*(A108&gt;=2024)</f>
        <v>0</v>
      </c>
      <c r="E108" s="30">
        <f>MIN(1,(A108=Inputs!$C$19)*Inputs!$D$19+(A108=Inputs!$C$20)*Inputs!$D$20+(A108=Inputs!$C$21)*Inputs!$D$21*(A108 &gt;= a_afil))</f>
        <v>0</v>
      </c>
      <c r="F108" s="30">
        <f t="shared" si="248"/>
        <v>0</v>
      </c>
      <c r="G108" s="30">
        <f t="shared" si="249"/>
        <v>0</v>
      </c>
      <c r="H108" s="30">
        <v>0.21800035238265991</v>
      </c>
      <c r="I108" s="37">
        <f t="shared" si="255"/>
        <v>0</v>
      </c>
      <c r="J108" s="37">
        <f t="shared" si="256"/>
        <v>0</v>
      </c>
      <c r="K108" s="30">
        <f>1*OR(Inputs!$D$17=$A108,Inputs!$E$17=$A108)*($E108=0)*(F108=1)</f>
        <v>0</v>
      </c>
      <c r="L108" s="30">
        <f>1*OR(Inputs!$D$17=$A108,Inputs!$E$17=$A108)*($E108=0)*(G108=1)</f>
        <v>0</v>
      </c>
      <c r="M108" s="73">
        <f t="shared" si="245"/>
        <v>0</v>
      </c>
      <c r="N108" s="73">
        <f t="shared" si="246"/>
        <v>0</v>
      </c>
      <c r="O108" s="55">
        <f>Parámetros!$E95*12*I108*$P$14</f>
        <v>0</v>
      </c>
      <c r="P108" s="55">
        <f>Parámetros!$E95*12*J108*$P$14</f>
        <v>0</v>
      </c>
      <c r="Q108" s="70">
        <f t="shared" si="225"/>
        <v>0</v>
      </c>
      <c r="R108" s="70">
        <f t="shared" si="226"/>
        <v>0</v>
      </c>
      <c r="S108" s="68">
        <f t="shared" si="270"/>
        <v>0</v>
      </c>
      <c r="T108" s="68">
        <f t="shared" si="271"/>
        <v>0</v>
      </c>
      <c r="U108" s="177"/>
      <c r="V108" s="68">
        <f t="shared" si="266"/>
        <v>0</v>
      </c>
      <c r="W108" s="68">
        <f t="shared" si="267"/>
        <v>0</v>
      </c>
      <c r="X108" s="54">
        <f t="shared" si="253"/>
        <v>0</v>
      </c>
      <c r="Y108" s="54">
        <f t="shared" si="254"/>
        <v>0</v>
      </c>
      <c r="Z108" s="55">
        <f t="shared" si="268"/>
        <v>0</v>
      </c>
      <c r="AA108" s="55">
        <f t="shared" si="269"/>
        <v>0</v>
      </c>
      <c r="AB108" s="53">
        <f>D108*mmater*Parámetros!$G95*$X$5+AB107*(1+i_noc)</f>
        <v>0</v>
      </c>
      <c r="AC108" s="53">
        <f>E108*12*Parámetros!$F95*$X$5+AC107*(1+i_noc)</f>
        <v>1522779.9480083913</v>
      </c>
      <c r="AD108" s="53"/>
      <c r="AE108" s="53"/>
      <c r="AF108" s="175"/>
      <c r="AG108" s="74">
        <f t="shared" si="250"/>
        <v>0</v>
      </c>
      <c r="AH108" s="52">
        <f t="shared" si="251"/>
        <v>0</v>
      </c>
      <c r="AI108" s="56">
        <f t="shared" si="257"/>
        <v>0</v>
      </c>
      <c r="AJ108" s="56">
        <f t="shared" si="258"/>
        <v>0</v>
      </c>
      <c r="AK108" s="56"/>
      <c r="AL108" s="56"/>
      <c r="AM108" s="56"/>
      <c r="AN108" s="56"/>
      <c r="AO108" s="56">
        <f t="shared" si="259"/>
        <v>0</v>
      </c>
      <c r="AP108" s="56">
        <f t="shared" si="260"/>
        <v>0</v>
      </c>
      <c r="AQ108" s="53">
        <f t="shared" si="261"/>
        <v>0</v>
      </c>
      <c r="AR108" s="53">
        <f t="shared" si="262"/>
        <v>0</v>
      </c>
      <c r="AS108" s="39"/>
      <c r="AT108" s="68">
        <f t="shared" si="263"/>
        <v>0</v>
      </c>
      <c r="AU108" s="68">
        <f t="shared" si="264"/>
        <v>0</v>
      </c>
      <c r="AV108" s="68">
        <f t="shared" si="265"/>
        <v>0</v>
      </c>
      <c r="AW108" s="68">
        <f t="shared" si="252"/>
        <v>0</v>
      </c>
      <c r="AX108" s="39"/>
      <c r="AY108" s="39"/>
    </row>
    <row r="109" spans="1:52" x14ac:dyDescent="0.25">
      <c r="A109" s="30">
        <v>2074</v>
      </c>
      <c r="B109" s="33">
        <f>w_uf*UF*Parámetros!C96</f>
        <v>1600479.2412742916</v>
      </c>
      <c r="C109" s="30">
        <f t="shared" si="247"/>
        <v>95</v>
      </c>
      <c r="D109" s="30">
        <f>((A109=Inputs!$C$12)*(Inputs!$D$12) + (A109=Inputs!$C$13)*(Inputs!$D$13) + (A109=Inputs!$C$14)*(Inputs!$D$14)) *(A109 &gt;= a_afil)*(A109&gt;=2024)</f>
        <v>0</v>
      </c>
      <c r="E109" s="30">
        <f>MIN(1,(A109=Inputs!$C$19)*Inputs!$D$19+(A109=Inputs!$C$20)*Inputs!$D$20+(A109=Inputs!$C$21)*Inputs!$D$21*(A109 &gt;= a_afil))</f>
        <v>0</v>
      </c>
      <c r="F109" s="30">
        <f t="shared" si="248"/>
        <v>0</v>
      </c>
      <c r="G109" s="30">
        <f t="shared" si="249"/>
        <v>0</v>
      </c>
      <c r="H109" s="30">
        <v>0.44699323177337646</v>
      </c>
      <c r="I109" s="37">
        <f t="shared" si="255"/>
        <v>0</v>
      </c>
      <c r="J109" s="37">
        <f t="shared" si="256"/>
        <v>0</v>
      </c>
      <c r="K109" s="30">
        <f>1*OR(Inputs!$D$17=$A109,Inputs!$E$17=$A109)*($E109=0)*(F109=1)</f>
        <v>0</v>
      </c>
      <c r="L109" s="30">
        <f>1*OR(Inputs!$D$17=$A109,Inputs!$E$17=$A109)*($E109=0)*(G109=1)</f>
        <v>0</v>
      </c>
      <c r="M109" s="73">
        <f t="shared" si="245"/>
        <v>0</v>
      </c>
      <c r="N109" s="73">
        <f t="shared" si="246"/>
        <v>0</v>
      </c>
      <c r="O109" s="55">
        <f>Parámetros!$E96*12*I109*$P$14</f>
        <v>0</v>
      </c>
      <c r="P109" s="55">
        <f>Parámetros!$E96*12*J109*$P$14</f>
        <v>0</v>
      </c>
      <c r="Q109" s="70">
        <f t="shared" si="225"/>
        <v>0</v>
      </c>
      <c r="R109" s="70">
        <f t="shared" si="226"/>
        <v>0</v>
      </c>
      <c r="S109" s="68">
        <f t="shared" si="270"/>
        <v>0</v>
      </c>
      <c r="T109" s="68">
        <f t="shared" si="271"/>
        <v>0</v>
      </c>
      <c r="U109" s="177"/>
      <c r="V109" s="68">
        <f t="shared" si="266"/>
        <v>0</v>
      </c>
      <c r="W109" s="68">
        <f t="shared" si="267"/>
        <v>0</v>
      </c>
      <c r="X109" s="54">
        <f t="shared" si="253"/>
        <v>0</v>
      </c>
      <c r="Y109" s="54">
        <f t="shared" si="254"/>
        <v>0</v>
      </c>
      <c r="Z109" s="55">
        <f t="shared" si="268"/>
        <v>0</v>
      </c>
      <c r="AA109" s="55">
        <f t="shared" si="269"/>
        <v>0</v>
      </c>
      <c r="AB109" s="53">
        <f>D109*mmater*Parámetros!$G96*$X$5+AB108*(1+i_noc)</f>
        <v>0</v>
      </c>
      <c r="AC109" s="53">
        <f>E109*12*Parámetros!$F96*$X$5+AC108*(1+i_noc)</f>
        <v>1553235.5469685593</v>
      </c>
      <c r="AD109" s="53"/>
      <c r="AE109" s="53"/>
      <c r="AF109" s="175"/>
      <c r="AG109" s="74">
        <f t="shared" si="250"/>
        <v>0</v>
      </c>
      <c r="AH109" s="52">
        <f t="shared" si="251"/>
        <v>0</v>
      </c>
      <c r="AI109" s="56">
        <f t="shared" si="257"/>
        <v>0</v>
      </c>
      <c r="AJ109" s="56">
        <f t="shared" si="258"/>
        <v>0</v>
      </c>
      <c r="AK109" s="56"/>
      <c r="AL109" s="56"/>
      <c r="AM109" s="56"/>
      <c r="AN109" s="56"/>
      <c r="AO109" s="56">
        <f t="shared" si="259"/>
        <v>0</v>
      </c>
      <c r="AP109" s="56">
        <f t="shared" si="260"/>
        <v>0</v>
      </c>
      <c r="AQ109" s="53">
        <f t="shared" si="261"/>
        <v>0</v>
      </c>
      <c r="AR109" s="53">
        <f t="shared" si="262"/>
        <v>0</v>
      </c>
      <c r="AS109" s="39"/>
      <c r="AT109" s="68">
        <f t="shared" si="263"/>
        <v>0</v>
      </c>
      <c r="AU109" s="68">
        <f t="shared" si="264"/>
        <v>0</v>
      </c>
      <c r="AV109" s="68">
        <f t="shared" si="265"/>
        <v>0</v>
      </c>
      <c r="AW109" s="68">
        <f t="shared" si="252"/>
        <v>0</v>
      </c>
      <c r="AX109" s="39"/>
      <c r="AY109" s="39"/>
    </row>
    <row r="110" spans="1:52" x14ac:dyDescent="0.25">
      <c r="A110" s="30">
        <v>2075</v>
      </c>
      <c r="B110" s="33">
        <f>w_uf*UF*Parámetros!C97</f>
        <v>1620485.2317902204</v>
      </c>
      <c r="C110" s="30">
        <f t="shared" si="247"/>
        <v>96</v>
      </c>
      <c r="D110" s="30">
        <f>((A110=Inputs!$C$12)*(Inputs!$D$12) + (A110=Inputs!$C$13)*(Inputs!$D$13) + (A110=Inputs!$C$14)*(Inputs!$D$14)) *(A110 &gt;= a_afil)*(A110&gt;=2024)</f>
        <v>0</v>
      </c>
      <c r="E110" s="30">
        <f>MIN(1,(A110=Inputs!$C$19)*Inputs!$D$19+(A110=Inputs!$C$20)*Inputs!$D$20+(A110=Inputs!$C$21)*Inputs!$D$21*(A110 &gt;= a_afil))</f>
        <v>0</v>
      </c>
      <c r="F110" s="30">
        <f t="shared" si="248"/>
        <v>0</v>
      </c>
      <c r="G110" s="30">
        <f t="shared" si="249"/>
        <v>0</v>
      </c>
      <c r="H110" s="30">
        <v>0.23602777719497681</v>
      </c>
      <c r="I110" s="37">
        <f t="shared" si="255"/>
        <v>0</v>
      </c>
      <c r="J110" s="37">
        <f t="shared" si="256"/>
        <v>0</v>
      </c>
      <c r="K110" s="30">
        <f>1*OR(Inputs!$D$17=$A110,Inputs!$E$17=$A110)*($E110=0)*(F110=1)</f>
        <v>0</v>
      </c>
      <c r="L110" s="30">
        <f>1*OR(Inputs!$D$17=$A110,Inputs!$E$17=$A110)*($E110=0)*(G110=1)</f>
        <v>0</v>
      </c>
      <c r="M110" s="73">
        <f t="shared" si="245"/>
        <v>0</v>
      </c>
      <c r="N110" s="73">
        <f t="shared" si="246"/>
        <v>0</v>
      </c>
      <c r="O110" s="55">
        <f>Parámetros!$E97*12*I110*$P$14</f>
        <v>0</v>
      </c>
      <c r="P110" s="55">
        <f>Parámetros!$E97*12*J110*$P$14</f>
        <v>0</v>
      </c>
      <c r="Q110" s="70">
        <f t="shared" si="225"/>
        <v>0</v>
      </c>
      <c r="R110" s="70">
        <f t="shared" si="226"/>
        <v>0</v>
      </c>
      <c r="S110" s="68">
        <f t="shared" si="270"/>
        <v>0</v>
      </c>
      <c r="T110" s="68">
        <f t="shared" si="271"/>
        <v>0</v>
      </c>
      <c r="U110" s="177"/>
      <c r="V110" s="68">
        <f t="shared" si="266"/>
        <v>0</v>
      </c>
      <c r="W110" s="68">
        <f t="shared" si="267"/>
        <v>0</v>
      </c>
      <c r="X110" s="54">
        <f t="shared" si="253"/>
        <v>0</v>
      </c>
      <c r="Y110" s="54">
        <f t="shared" si="254"/>
        <v>0</v>
      </c>
      <c r="Z110" s="55">
        <f t="shared" si="268"/>
        <v>0</v>
      </c>
      <c r="AA110" s="55">
        <f t="shared" si="269"/>
        <v>0</v>
      </c>
      <c r="AB110" s="53">
        <f>D110*mmater*Parámetros!$G97*$X$5+AB109*(1+i_noc)</f>
        <v>0</v>
      </c>
      <c r="AC110" s="53">
        <f>E110*12*Parámetros!$F97*$X$5+AC109*(1+i_noc)</f>
        <v>1584300.2579079305</v>
      </c>
      <c r="AD110" s="53"/>
      <c r="AE110" s="53"/>
      <c r="AF110" s="175"/>
      <c r="AG110" s="74">
        <f t="shared" si="250"/>
        <v>0</v>
      </c>
      <c r="AH110" s="52">
        <f t="shared" si="251"/>
        <v>0</v>
      </c>
      <c r="AI110" s="56">
        <f t="shared" si="257"/>
        <v>0</v>
      </c>
      <c r="AJ110" s="56">
        <f t="shared" si="258"/>
        <v>0</v>
      </c>
      <c r="AK110" s="56"/>
      <c r="AL110" s="56"/>
      <c r="AM110" s="56"/>
      <c r="AN110" s="56"/>
      <c r="AO110" s="56">
        <f t="shared" si="259"/>
        <v>0</v>
      </c>
      <c r="AP110" s="56">
        <f t="shared" si="260"/>
        <v>0</v>
      </c>
      <c r="AQ110" s="53">
        <f t="shared" si="261"/>
        <v>0</v>
      </c>
      <c r="AR110" s="53">
        <f t="shared" si="262"/>
        <v>0</v>
      </c>
      <c r="AS110" s="39"/>
      <c r="AT110" s="68">
        <f t="shared" si="263"/>
        <v>0</v>
      </c>
      <c r="AU110" s="68">
        <f t="shared" si="264"/>
        <v>0</v>
      </c>
      <c r="AV110" s="68">
        <f t="shared" si="265"/>
        <v>0</v>
      </c>
      <c r="AW110" s="68">
        <f t="shared" si="252"/>
        <v>0</v>
      </c>
      <c r="AX110" s="39"/>
      <c r="AY110" s="39"/>
    </row>
    <row r="111" spans="1:52" x14ac:dyDescent="0.25">
      <c r="A111" s="30">
        <v>2076</v>
      </c>
      <c r="B111" s="33">
        <f>w_uf*UF*Parámetros!C98</f>
        <v>1640741.297187598</v>
      </c>
      <c r="C111" s="30">
        <f t="shared" si="247"/>
        <v>97</v>
      </c>
      <c r="D111" s="30">
        <f>((A111=Inputs!$C$12)*(Inputs!$D$12) + (A111=Inputs!$C$13)*(Inputs!$D$13) + (A111=Inputs!$C$14)*(Inputs!$D$14)) *(A111 &gt;= a_afil)*(A111&gt;=2024)</f>
        <v>0</v>
      </c>
      <c r="E111" s="30">
        <f>MIN(1,(A111=Inputs!$C$19)*Inputs!$D$19+(A111=Inputs!$C$20)*Inputs!$D$20+(A111=Inputs!$C$21)*Inputs!$D$21*(A111 &gt;= a_afil))</f>
        <v>0</v>
      </c>
      <c r="F111" s="30">
        <f t="shared" si="248"/>
        <v>0</v>
      </c>
      <c r="G111" s="30">
        <f t="shared" si="249"/>
        <v>0</v>
      </c>
      <c r="H111" s="30">
        <v>0.87838459014892578</v>
      </c>
      <c r="I111" s="37">
        <f t="shared" si="255"/>
        <v>0</v>
      </c>
      <c r="J111" s="37">
        <f t="shared" si="256"/>
        <v>0</v>
      </c>
      <c r="K111" s="30">
        <f>1*OR(Inputs!$D$17=$A111,Inputs!$E$17=$A111)*($E111=0)*(F111=1)</f>
        <v>0</v>
      </c>
      <c r="L111" s="30">
        <f>1*OR(Inputs!$D$17=$A111,Inputs!$E$17=$A111)*($E111=0)*(G111=1)</f>
        <v>0</v>
      </c>
      <c r="M111" s="73">
        <f t="shared" si="245"/>
        <v>0</v>
      </c>
      <c r="N111" s="73">
        <f t="shared" si="246"/>
        <v>0</v>
      </c>
      <c r="O111" s="55">
        <f>Parámetros!$E98*12*I111*$P$14</f>
        <v>0</v>
      </c>
      <c r="P111" s="55">
        <f>Parámetros!$E98*12*J111*$P$14</f>
        <v>0</v>
      </c>
      <c r="Q111" s="70">
        <f t="shared" si="225"/>
        <v>0</v>
      </c>
      <c r="R111" s="70">
        <f t="shared" si="226"/>
        <v>0</v>
      </c>
      <c r="S111" s="68">
        <f t="shared" si="270"/>
        <v>0</v>
      </c>
      <c r="T111" s="68">
        <f t="shared" si="271"/>
        <v>0</v>
      </c>
      <c r="U111" s="177"/>
      <c r="V111" s="68">
        <f t="shared" si="266"/>
        <v>0</v>
      </c>
      <c r="W111" s="68">
        <f t="shared" si="267"/>
        <v>0</v>
      </c>
      <c r="X111" s="54">
        <f t="shared" si="253"/>
        <v>0</v>
      </c>
      <c r="Y111" s="54">
        <f t="shared" si="254"/>
        <v>0</v>
      </c>
      <c r="Z111" s="55">
        <f t="shared" si="268"/>
        <v>0</v>
      </c>
      <c r="AA111" s="55">
        <f t="shared" si="269"/>
        <v>0</v>
      </c>
      <c r="AB111" s="53">
        <f>D111*mmater*Parámetros!$G98*$X$5+AB110*(1+i_noc)</f>
        <v>0</v>
      </c>
      <c r="AC111" s="53">
        <f>E111*12*Parámetros!$F98*$X$5+AC110*(1+i_noc)</f>
        <v>1615986.2630660892</v>
      </c>
      <c r="AD111" s="53"/>
      <c r="AE111" s="53"/>
      <c r="AF111" s="175"/>
      <c r="AG111" s="74">
        <f t="shared" si="250"/>
        <v>0</v>
      </c>
      <c r="AH111" s="52">
        <f t="shared" si="251"/>
        <v>0</v>
      </c>
      <c r="AI111" s="56">
        <f t="shared" si="257"/>
        <v>0</v>
      </c>
      <c r="AJ111" s="56">
        <f t="shared" si="258"/>
        <v>0</v>
      </c>
      <c r="AK111" s="56"/>
      <c r="AL111" s="56"/>
      <c r="AM111" s="56"/>
      <c r="AN111" s="56"/>
      <c r="AO111" s="56">
        <f t="shared" si="259"/>
        <v>0</v>
      </c>
      <c r="AP111" s="56">
        <f t="shared" si="260"/>
        <v>0</v>
      </c>
      <c r="AQ111" s="53">
        <f t="shared" si="261"/>
        <v>0</v>
      </c>
      <c r="AR111" s="53">
        <f t="shared" si="262"/>
        <v>0</v>
      </c>
      <c r="AS111" s="39"/>
      <c r="AT111" s="68">
        <f t="shared" si="263"/>
        <v>0</v>
      </c>
      <c r="AU111" s="68">
        <f t="shared" si="264"/>
        <v>0</v>
      </c>
      <c r="AV111" s="68">
        <f t="shared" si="265"/>
        <v>0</v>
      </c>
      <c r="AW111" s="68">
        <f t="shared" si="252"/>
        <v>0</v>
      </c>
      <c r="AX111" s="39"/>
      <c r="AY111" s="39"/>
    </row>
    <row r="112" spans="1:52" x14ac:dyDescent="0.25">
      <c r="A112" s="30">
        <v>2077</v>
      </c>
      <c r="B112" s="33">
        <f>w_uf*UF*Parámetros!C99</f>
        <v>1661250.563402443</v>
      </c>
      <c r="C112" s="30">
        <f t="shared" ref="C112:C135" si="272">IF(AND(A112-a_nac&lt;=110,A112-a_nac&gt;0),A112-a_nac,"")</f>
        <v>98</v>
      </c>
      <c r="D112" s="30">
        <f>((A112=Inputs!$C$12)*(Inputs!$D$12) + (A112=Inputs!$C$13)*(Inputs!$D$13) + (A112=Inputs!$C$14)*(Inputs!$D$14)) *(A112 &gt;= a_afil)*(A112&gt;=2024)</f>
        <v>0</v>
      </c>
      <c r="E112" s="30">
        <f>MIN(1,(A112=Inputs!$C$19)*Inputs!$D$19+(A112=Inputs!$C$20)*Inputs!$D$20+(A112=Inputs!$C$21)*Inputs!$D$21*(A112 &gt;= a_afil))</f>
        <v>0</v>
      </c>
      <c r="F112" s="30">
        <f t="shared" ref="F112:F134" si="273" xml:space="preserve"> (C112&lt;edad_ret_h) * (A112&gt;=a_afil)</f>
        <v>0</v>
      </c>
      <c r="G112" s="30">
        <f t="shared" ref="G112:G134" si="274" xml:space="preserve"> (C112&lt;edad_ret_m) * (A112&gt;=a_afil)</f>
        <v>0</v>
      </c>
      <c r="H112" s="30">
        <v>0.61043280363082886</v>
      </c>
      <c r="I112" s="37">
        <f t="shared" si="255"/>
        <v>0</v>
      </c>
      <c r="J112" s="37">
        <f t="shared" si="256"/>
        <v>0</v>
      </c>
      <c r="K112" s="30">
        <f>1*OR(Inputs!$D$17=$A112,Inputs!$E$17=$A112)*($E112=0)*(F112=1)</f>
        <v>0</v>
      </c>
      <c r="L112" s="30">
        <f>1*OR(Inputs!$D$17=$A112,Inputs!$E$17=$A112)*($E112=0)*(G112=1)</f>
        <v>0</v>
      </c>
      <c r="M112" s="73">
        <f t="shared" si="245"/>
        <v>0</v>
      </c>
      <c r="N112" s="73">
        <f t="shared" si="246"/>
        <v>0</v>
      </c>
      <c r="O112" s="55">
        <f>Parámetros!$E99*12*I112*$P$14</f>
        <v>0</v>
      </c>
      <c r="P112" s="55">
        <f>Parámetros!$E99*12*J112*$P$14</f>
        <v>0</v>
      </c>
      <c r="Q112" s="70">
        <f t="shared" si="225"/>
        <v>0</v>
      </c>
      <c r="R112" s="70">
        <f t="shared" si="226"/>
        <v>0</v>
      </c>
      <c r="S112" s="68">
        <f t="shared" si="270"/>
        <v>0</v>
      </c>
      <c r="T112" s="68">
        <f t="shared" si="271"/>
        <v>0</v>
      </c>
      <c r="U112" s="177"/>
      <c r="V112" s="68">
        <f t="shared" si="266"/>
        <v>0</v>
      </c>
      <c r="W112" s="68">
        <f t="shared" si="267"/>
        <v>0</v>
      </c>
      <c r="X112" s="54">
        <f t="shared" si="253"/>
        <v>0</v>
      </c>
      <c r="Y112" s="54">
        <f t="shared" si="254"/>
        <v>0</v>
      </c>
      <c r="Z112" s="55">
        <f t="shared" si="268"/>
        <v>0</v>
      </c>
      <c r="AA112" s="55">
        <f t="shared" si="269"/>
        <v>0</v>
      </c>
      <c r="AB112" s="53">
        <f>D112*mmater*Parámetros!$G99*$X$5+AB111*(1+i_noc)</f>
        <v>0</v>
      </c>
      <c r="AC112" s="53">
        <f>E112*12*Parámetros!$F99*$X$5+AC111*(1+i_noc)</f>
        <v>1648305.988327411</v>
      </c>
      <c r="AD112" s="53"/>
      <c r="AE112" s="53"/>
      <c r="AF112" s="175"/>
      <c r="AG112" s="74">
        <f t="shared" ref="AG112:AG135" si="275">($A112=D$9)*X112/(12*_xlfn.XLOOKUP(AG$15,sexo_cnu,cnu))</f>
        <v>0</v>
      </c>
      <c r="AH112" s="52">
        <f t="shared" ref="AH112:AH135" si="276">($A112=E$9)*Y112/(12*_xlfn.XLOOKUP(AH$15,sexo_cnu,cnu))</f>
        <v>0</v>
      </c>
      <c r="AI112" s="56">
        <f t="shared" si="257"/>
        <v>0</v>
      </c>
      <c r="AJ112" s="56">
        <f t="shared" si="258"/>
        <v>0</v>
      </c>
      <c r="AK112" s="56"/>
      <c r="AL112" s="56"/>
      <c r="AM112" s="56"/>
      <c r="AN112" s="56"/>
      <c r="AO112" s="56">
        <f t="shared" si="259"/>
        <v>0</v>
      </c>
      <c r="AP112" s="56">
        <f t="shared" si="260"/>
        <v>0</v>
      </c>
      <c r="AQ112" s="53">
        <f t="shared" si="261"/>
        <v>0</v>
      </c>
      <c r="AR112" s="53">
        <f t="shared" si="262"/>
        <v>0</v>
      </c>
      <c r="AS112" s="39"/>
      <c r="AT112" s="68">
        <f t="shared" si="263"/>
        <v>0</v>
      </c>
      <c r="AU112" s="68">
        <f t="shared" si="264"/>
        <v>0</v>
      </c>
      <c r="AV112" s="68">
        <f t="shared" si="265"/>
        <v>0</v>
      </c>
      <c r="AW112" s="68">
        <f t="shared" ref="AW112:AW135" si="277">IF($A112=a_nac+edad_ret_m,AA112/(12*_xlfn.XLOOKUP(AW$15,sexo_cnu,cnu)),0)</f>
        <v>0</v>
      </c>
      <c r="AX112" s="39"/>
      <c r="AY112" s="39"/>
    </row>
    <row r="113" spans="1:51" x14ac:dyDescent="0.25">
      <c r="A113" s="30">
        <v>2078</v>
      </c>
      <c r="B113" s="33">
        <f>w_uf*UF*Parámetros!C100</f>
        <v>1682016.1954449732</v>
      </c>
      <c r="C113" s="30">
        <f t="shared" si="272"/>
        <v>99</v>
      </c>
      <c r="D113" s="30">
        <f>((A113=Inputs!$C$12)*(Inputs!$D$12) + (A113=Inputs!$C$13)*(Inputs!$D$13) + (A113=Inputs!$C$14)*(Inputs!$D$14)) *(A113 &gt;= a_afil)*(A113&gt;=2024)</f>
        <v>0</v>
      </c>
      <c r="E113" s="30">
        <f>MIN(1,(A113=Inputs!$C$19)*Inputs!$D$19+(A113=Inputs!$C$20)*Inputs!$D$20+(A113=Inputs!$C$21)*Inputs!$D$21*(A113 &gt;= a_afil))</f>
        <v>0</v>
      </c>
      <c r="F113" s="30">
        <f t="shared" si="273"/>
        <v>0</v>
      </c>
      <c r="G113" s="30">
        <f t="shared" si="274"/>
        <v>0</v>
      </c>
      <c r="H113" s="30">
        <v>0.37443220615386963</v>
      </c>
      <c r="I113" s="37">
        <f t="shared" si="255"/>
        <v>0</v>
      </c>
      <c r="J113" s="37">
        <f t="shared" si="256"/>
        <v>0</v>
      </c>
      <c r="K113" s="30">
        <f>1*OR(Inputs!$D$17=$A113,Inputs!$E$17=$A113)*($E113=0)*(F113=1)</f>
        <v>0</v>
      </c>
      <c r="L113" s="30">
        <f>1*OR(Inputs!$D$17=$A113,Inputs!$E$17=$A113)*($E113=0)*(G113=1)</f>
        <v>0</v>
      </c>
      <c r="M113" s="73">
        <f t="shared" si="245"/>
        <v>0</v>
      </c>
      <c r="N113" s="73">
        <f t="shared" si="246"/>
        <v>0</v>
      </c>
      <c r="O113" s="55">
        <f>Parámetros!$E100*12*I113*$P$14</f>
        <v>0</v>
      </c>
      <c r="P113" s="55">
        <f>Parámetros!$E100*12*J113*$P$14</f>
        <v>0</v>
      </c>
      <c r="Q113" s="70">
        <f t="shared" si="225"/>
        <v>0</v>
      </c>
      <c r="R113" s="70">
        <f t="shared" si="226"/>
        <v>0</v>
      </c>
      <c r="S113" s="68">
        <f t="shared" si="270"/>
        <v>0</v>
      </c>
      <c r="T113" s="68">
        <f t="shared" si="271"/>
        <v>0</v>
      </c>
      <c r="U113" s="177"/>
      <c r="V113" s="68">
        <f t="shared" si="266"/>
        <v>0</v>
      </c>
      <c r="W113" s="68">
        <f t="shared" si="267"/>
        <v>0</v>
      </c>
      <c r="X113" s="54">
        <f t="shared" ref="X113:X135" si="278">F112*X112*(1+_xlfn.XLOOKUP(MIN(2024,$A112),agnos_rent,rent_base))+Q113</f>
        <v>0</v>
      </c>
      <c r="Y113" s="54">
        <f t="shared" ref="Y113:Y135" si="279">G112*Y112*(1+_xlfn.XLOOKUP(MIN(2024,$A112),agnos_rent,rent_base))+R113</f>
        <v>0</v>
      </c>
      <c r="Z113" s="55">
        <f t="shared" si="268"/>
        <v>0</v>
      </c>
      <c r="AA113" s="55">
        <f t="shared" si="269"/>
        <v>0</v>
      </c>
      <c r="AB113" s="53">
        <f>D113*mmater*Parámetros!$G100*$X$5+AB112*(1+i_noc)</f>
        <v>0</v>
      </c>
      <c r="AC113" s="53">
        <f>E113*12*Parámetros!$F100*$X$5+AC112*(1+i_noc)</f>
        <v>1681272.1080939593</v>
      </c>
      <c r="AD113" s="53"/>
      <c r="AE113" s="53"/>
      <c r="AF113" s="175"/>
      <c r="AG113" s="74">
        <f t="shared" si="275"/>
        <v>0</v>
      </c>
      <c r="AH113" s="52">
        <f t="shared" si="276"/>
        <v>0</v>
      </c>
      <c r="AI113" s="56">
        <f t="shared" si="257"/>
        <v>0</v>
      </c>
      <c r="AJ113" s="56">
        <f t="shared" si="258"/>
        <v>0</v>
      </c>
      <c r="AK113" s="56"/>
      <c r="AL113" s="56"/>
      <c r="AM113" s="56"/>
      <c r="AN113" s="56"/>
      <c r="AO113" s="56">
        <f t="shared" si="259"/>
        <v>0</v>
      </c>
      <c r="AP113" s="56">
        <f t="shared" si="260"/>
        <v>0</v>
      </c>
      <c r="AQ113" s="53">
        <f t="shared" si="261"/>
        <v>0</v>
      </c>
      <c r="AR113" s="53">
        <f t="shared" si="262"/>
        <v>0</v>
      </c>
      <c r="AS113" s="39"/>
      <c r="AT113" s="68">
        <f t="shared" si="263"/>
        <v>0</v>
      </c>
      <c r="AU113" s="68">
        <f t="shared" si="264"/>
        <v>0</v>
      </c>
      <c r="AV113" s="68">
        <f t="shared" si="265"/>
        <v>0</v>
      </c>
      <c r="AW113" s="68">
        <f t="shared" si="277"/>
        <v>0</v>
      </c>
      <c r="AX113" s="39"/>
      <c r="AY113" s="39"/>
    </row>
    <row r="114" spans="1:51" x14ac:dyDescent="0.25">
      <c r="A114" s="30">
        <v>2079</v>
      </c>
      <c r="B114" s="33">
        <f>w_uf*UF*Parámetros!C101</f>
        <v>1703041.3978880353</v>
      </c>
      <c r="C114" s="30">
        <f t="shared" si="272"/>
        <v>100</v>
      </c>
      <c r="D114" s="30">
        <f>((A114=Inputs!$C$12)*(Inputs!$D$12) + (A114=Inputs!$C$13)*(Inputs!$D$13) + (A114=Inputs!$C$14)*(Inputs!$D$14)) *(A114 &gt;= a_afil)*(A114&gt;=2024)</f>
        <v>0</v>
      </c>
      <c r="E114" s="30">
        <f>MIN(1,(A114=Inputs!$C$19)*Inputs!$D$19+(A114=Inputs!$C$20)*Inputs!$D$20+(A114=Inputs!$C$21)*Inputs!$D$21*(A114 &gt;= a_afil))</f>
        <v>0</v>
      </c>
      <c r="F114" s="30">
        <f t="shared" si="273"/>
        <v>0</v>
      </c>
      <c r="G114" s="30">
        <f t="shared" si="274"/>
        <v>0</v>
      </c>
      <c r="H114" s="30">
        <v>0.38950186967849731</v>
      </c>
      <c r="I114" s="37">
        <f t="shared" si="255"/>
        <v>0</v>
      </c>
      <c r="J114" s="37">
        <f t="shared" si="256"/>
        <v>0</v>
      </c>
      <c r="K114" s="30">
        <f>1*OR(Inputs!$D$17=$A114,Inputs!$E$17=$A114)*($E114=0)*(F114=1)</f>
        <v>0</v>
      </c>
      <c r="L114" s="30">
        <f>1*OR(Inputs!$D$17=$A114,Inputs!$E$17=$A114)*($E114=0)*(G114=1)</f>
        <v>0</v>
      </c>
      <c r="M114" s="73">
        <f t="shared" si="245"/>
        <v>0</v>
      </c>
      <c r="N114" s="73">
        <f t="shared" si="246"/>
        <v>0</v>
      </c>
      <c r="O114" s="55">
        <f>Parámetros!$E101*12*I114*$P$14</f>
        <v>0</v>
      </c>
      <c r="P114" s="55">
        <f>Parámetros!$E101*12*J114*$P$14</f>
        <v>0</v>
      </c>
      <c r="Q114" s="70">
        <f t="shared" si="225"/>
        <v>0</v>
      </c>
      <c r="R114" s="70">
        <f t="shared" si="226"/>
        <v>0</v>
      </c>
      <c r="S114" s="68">
        <f t="shared" si="270"/>
        <v>0</v>
      </c>
      <c r="T114" s="68">
        <f t="shared" si="271"/>
        <v>0</v>
      </c>
      <c r="U114" s="177"/>
      <c r="V114" s="68">
        <f t="shared" si="266"/>
        <v>0</v>
      </c>
      <c r="W114" s="68">
        <f t="shared" si="267"/>
        <v>0</v>
      </c>
      <c r="X114" s="54">
        <f t="shared" si="278"/>
        <v>0</v>
      </c>
      <c r="Y114" s="54">
        <f t="shared" si="279"/>
        <v>0</v>
      </c>
      <c r="Z114" s="55">
        <f t="shared" si="268"/>
        <v>0</v>
      </c>
      <c r="AA114" s="55">
        <f t="shared" si="269"/>
        <v>0</v>
      </c>
      <c r="AB114" s="53">
        <f>D114*mmater*Parámetros!$G101*$X$5+AB113*(1+i_noc)</f>
        <v>0</v>
      </c>
      <c r="AC114" s="53">
        <f>E114*12*Parámetros!$F101*$X$5+AC113*(1+i_noc)</f>
        <v>1714897.5502558385</v>
      </c>
      <c r="AD114" s="53"/>
      <c r="AE114" s="53"/>
      <c r="AF114" s="175"/>
      <c r="AG114" s="74">
        <f t="shared" si="275"/>
        <v>0</v>
      </c>
      <c r="AH114" s="52">
        <f t="shared" si="276"/>
        <v>0</v>
      </c>
      <c r="AI114" s="56">
        <f t="shared" si="257"/>
        <v>0</v>
      </c>
      <c r="AJ114" s="56">
        <f t="shared" si="258"/>
        <v>0</v>
      </c>
      <c r="AK114" s="56"/>
      <c r="AL114" s="56"/>
      <c r="AM114" s="56"/>
      <c r="AN114" s="56"/>
      <c r="AO114" s="56">
        <f t="shared" si="259"/>
        <v>0</v>
      </c>
      <c r="AP114" s="56">
        <f t="shared" si="260"/>
        <v>0</v>
      </c>
      <c r="AQ114" s="53">
        <f t="shared" si="261"/>
        <v>0</v>
      </c>
      <c r="AR114" s="53">
        <f t="shared" si="262"/>
        <v>0</v>
      </c>
      <c r="AS114" s="39"/>
      <c r="AT114" s="68">
        <f t="shared" si="263"/>
        <v>0</v>
      </c>
      <c r="AU114" s="68">
        <f t="shared" si="264"/>
        <v>0</v>
      </c>
      <c r="AV114" s="68">
        <f t="shared" si="265"/>
        <v>0</v>
      </c>
      <c r="AW114" s="68">
        <f t="shared" si="277"/>
        <v>0</v>
      </c>
      <c r="AX114" s="39"/>
      <c r="AY114" s="39"/>
    </row>
    <row r="115" spans="1:51" x14ac:dyDescent="0.25">
      <c r="A115" s="30">
        <v>2080</v>
      </c>
      <c r="B115" s="33">
        <f>w_uf*UF*Parámetros!C102</f>
        <v>1724329.4153616359</v>
      </c>
      <c r="C115" s="30">
        <f t="shared" si="272"/>
        <v>101</v>
      </c>
      <c r="D115" s="30">
        <f>((A115=Inputs!$C$12)*(Inputs!$D$12) + (A115=Inputs!$C$13)*(Inputs!$D$13) + (A115=Inputs!$C$14)*(Inputs!$D$14)) *(A115 &gt;= a_afil)*(A115&gt;=2024)</f>
        <v>0</v>
      </c>
      <c r="E115" s="30">
        <f>MIN(1,(A115=Inputs!$C$19)*Inputs!$D$19+(A115=Inputs!$C$20)*Inputs!$D$20+(A115=Inputs!$C$21)*Inputs!$D$21*(A115 &gt;= a_afil))</f>
        <v>0</v>
      </c>
      <c r="F115" s="30">
        <f t="shared" si="273"/>
        <v>0</v>
      </c>
      <c r="G115" s="30">
        <f t="shared" si="274"/>
        <v>0</v>
      </c>
      <c r="H115" s="30">
        <v>0.86058926582336426</v>
      </c>
      <c r="I115" s="37">
        <f t="shared" si="255"/>
        <v>0</v>
      </c>
      <c r="J115" s="37">
        <f t="shared" si="256"/>
        <v>0</v>
      </c>
      <c r="K115" s="30">
        <f>1*OR(Inputs!$D$17=$A115,Inputs!$E$17=$A115)*($E115=0)*(F115=1)</f>
        <v>0</v>
      </c>
      <c r="L115" s="30">
        <f>1*OR(Inputs!$D$17=$A115,Inputs!$E$17=$A115)*($E115=0)*(G115=1)</f>
        <v>0</v>
      </c>
      <c r="M115" s="73">
        <f t="shared" si="245"/>
        <v>0</v>
      </c>
      <c r="N115" s="73">
        <f t="shared" si="246"/>
        <v>0</v>
      </c>
      <c r="O115" s="55">
        <f>Parámetros!$E102*12*I115*$P$14</f>
        <v>0</v>
      </c>
      <c r="P115" s="55">
        <f>Parámetros!$E102*12*J115*$P$14</f>
        <v>0</v>
      </c>
      <c r="Q115" s="70">
        <f t="shared" si="225"/>
        <v>0</v>
      </c>
      <c r="R115" s="70">
        <f t="shared" si="226"/>
        <v>0</v>
      </c>
      <c r="S115" s="68">
        <f t="shared" si="270"/>
        <v>0</v>
      </c>
      <c r="T115" s="68">
        <f t="shared" si="271"/>
        <v>0</v>
      </c>
      <c r="U115" s="177"/>
      <c r="V115" s="68">
        <f t="shared" si="266"/>
        <v>0</v>
      </c>
      <c r="W115" s="68">
        <f t="shared" si="267"/>
        <v>0</v>
      </c>
      <c r="X115" s="54">
        <f t="shared" si="278"/>
        <v>0</v>
      </c>
      <c r="Y115" s="54">
        <f t="shared" si="279"/>
        <v>0</v>
      </c>
      <c r="Z115" s="55">
        <f t="shared" si="268"/>
        <v>0</v>
      </c>
      <c r="AA115" s="55">
        <f t="shared" si="269"/>
        <v>0</v>
      </c>
      <c r="AB115" s="53">
        <f>D115*mmater*Parámetros!$G102*$X$5+AB114*(1+i_noc)</f>
        <v>0</v>
      </c>
      <c r="AC115" s="53">
        <f>E115*12*Parámetros!$F102*$X$5+AC114*(1+i_noc)</f>
        <v>1749195.5012609554</v>
      </c>
      <c r="AD115" s="53"/>
      <c r="AE115" s="53"/>
      <c r="AF115" s="175"/>
      <c r="AG115" s="74">
        <f t="shared" si="275"/>
        <v>0</v>
      </c>
      <c r="AH115" s="52">
        <f t="shared" si="276"/>
        <v>0</v>
      </c>
      <c r="AI115" s="56">
        <f t="shared" si="257"/>
        <v>0</v>
      </c>
      <c r="AJ115" s="56">
        <f t="shared" si="258"/>
        <v>0</v>
      </c>
      <c r="AK115" s="56"/>
      <c r="AL115" s="56"/>
      <c r="AM115" s="56"/>
      <c r="AN115" s="56"/>
      <c r="AO115" s="56">
        <f t="shared" si="259"/>
        <v>0</v>
      </c>
      <c r="AP115" s="56">
        <f t="shared" si="260"/>
        <v>0</v>
      </c>
      <c r="AQ115" s="53">
        <f t="shared" si="261"/>
        <v>0</v>
      </c>
      <c r="AR115" s="53">
        <f t="shared" si="262"/>
        <v>0</v>
      </c>
      <c r="AS115" s="39"/>
      <c r="AT115" s="68">
        <f t="shared" si="263"/>
        <v>0</v>
      </c>
      <c r="AU115" s="68">
        <f t="shared" si="264"/>
        <v>0</v>
      </c>
      <c r="AV115" s="68">
        <f t="shared" si="265"/>
        <v>0</v>
      </c>
      <c r="AW115" s="68">
        <f t="shared" si="277"/>
        <v>0</v>
      </c>
      <c r="AX115" s="39"/>
      <c r="AY115" s="39"/>
    </row>
    <row r="116" spans="1:51" x14ac:dyDescent="0.25">
      <c r="A116" s="30">
        <v>2081</v>
      </c>
      <c r="B116" s="33">
        <f>w_uf*UF*Parámetros!C103</f>
        <v>1745883.5330536563</v>
      </c>
      <c r="C116" s="30">
        <f t="shared" si="272"/>
        <v>102</v>
      </c>
      <c r="D116" s="30">
        <f>((A116=Inputs!$C$12)*(Inputs!$D$12) + (A116=Inputs!$C$13)*(Inputs!$D$13) + (A116=Inputs!$C$14)*(Inputs!$D$14)) *(A116 &gt;= a_afil)*(A116&gt;=2024)</f>
        <v>0</v>
      </c>
      <c r="E116" s="30">
        <f>MIN(1,(A116=Inputs!$C$19)*Inputs!$D$19+(A116=Inputs!$C$20)*Inputs!$D$20+(A116=Inputs!$C$21)*Inputs!$D$21*(A116 &gt;= a_afil))</f>
        <v>0</v>
      </c>
      <c r="F116" s="30">
        <f t="shared" si="273"/>
        <v>0</v>
      </c>
      <c r="G116" s="30">
        <f t="shared" si="274"/>
        <v>0</v>
      </c>
      <c r="H116" s="30">
        <v>0.58593791723251343</v>
      </c>
      <c r="I116" s="37">
        <f t="shared" si="255"/>
        <v>0</v>
      </c>
      <c r="J116" s="37">
        <f t="shared" si="256"/>
        <v>0</v>
      </c>
      <c r="K116" s="30">
        <f>1*OR(Inputs!$D$17=$A116,Inputs!$E$17=$A116)*($E116=0)*(F116=1)</f>
        <v>0</v>
      </c>
      <c r="L116" s="30">
        <f>1*OR(Inputs!$D$17=$A116,Inputs!$E$17=$A116)*($E116=0)*(G116=1)</f>
        <v>0</v>
      </c>
      <c r="M116" s="73">
        <f t="shared" si="245"/>
        <v>0</v>
      </c>
      <c r="N116" s="73">
        <f t="shared" si="246"/>
        <v>0</v>
      </c>
      <c r="O116" s="55">
        <f>Parámetros!$E103*12*I116*$P$14</f>
        <v>0</v>
      </c>
      <c r="P116" s="55">
        <f>Parámetros!$E103*12*J116*$P$14</f>
        <v>0</v>
      </c>
      <c r="Q116" s="70">
        <f t="shared" si="225"/>
        <v>0</v>
      </c>
      <c r="R116" s="70">
        <f t="shared" si="226"/>
        <v>0</v>
      </c>
      <c r="S116" s="68">
        <f t="shared" si="270"/>
        <v>0</v>
      </c>
      <c r="T116" s="68">
        <f t="shared" si="271"/>
        <v>0</v>
      </c>
      <c r="U116" s="177"/>
      <c r="V116" s="68">
        <f t="shared" si="266"/>
        <v>0</v>
      </c>
      <c r="W116" s="68">
        <f t="shared" si="267"/>
        <v>0</v>
      </c>
      <c r="X116" s="54">
        <f t="shared" si="278"/>
        <v>0</v>
      </c>
      <c r="Y116" s="54">
        <f t="shared" si="279"/>
        <v>0</v>
      </c>
      <c r="Z116" s="55">
        <f t="shared" si="268"/>
        <v>0</v>
      </c>
      <c r="AA116" s="55">
        <f t="shared" si="269"/>
        <v>0</v>
      </c>
      <c r="AB116" s="53">
        <f>D116*mmater*Parámetros!$G103*$X$5+AB115*(1+i_noc)</f>
        <v>0</v>
      </c>
      <c r="AC116" s="53">
        <f>E116*12*Parámetros!$F103*$X$5+AC115*(1+i_noc)</f>
        <v>1784179.4112861746</v>
      </c>
      <c r="AD116" s="53"/>
      <c r="AE116" s="53"/>
      <c r="AF116" s="175"/>
      <c r="AG116" s="74">
        <f t="shared" si="275"/>
        <v>0</v>
      </c>
      <c r="AH116" s="52">
        <f t="shared" si="276"/>
        <v>0</v>
      </c>
      <c r="AI116" s="56">
        <f t="shared" si="257"/>
        <v>0</v>
      </c>
      <c r="AJ116" s="56">
        <f t="shared" si="258"/>
        <v>0</v>
      </c>
      <c r="AK116" s="56"/>
      <c r="AL116" s="56"/>
      <c r="AM116" s="56"/>
      <c r="AN116" s="56"/>
      <c r="AO116" s="56">
        <f t="shared" si="259"/>
        <v>0</v>
      </c>
      <c r="AP116" s="56">
        <f t="shared" si="260"/>
        <v>0</v>
      </c>
      <c r="AQ116" s="53">
        <f t="shared" si="261"/>
        <v>0</v>
      </c>
      <c r="AR116" s="53">
        <f t="shared" si="262"/>
        <v>0</v>
      </c>
      <c r="AS116" s="39"/>
      <c r="AT116" s="68">
        <f t="shared" si="263"/>
        <v>0</v>
      </c>
      <c r="AU116" s="68">
        <f t="shared" si="264"/>
        <v>0</v>
      </c>
      <c r="AV116" s="68">
        <f t="shared" si="265"/>
        <v>0</v>
      </c>
      <c r="AW116" s="68">
        <f t="shared" si="277"/>
        <v>0</v>
      </c>
      <c r="AX116" s="39"/>
      <c r="AY116" s="39"/>
    </row>
    <row r="117" spans="1:51" x14ac:dyDescent="0.25">
      <c r="A117" s="30">
        <v>2082</v>
      </c>
      <c r="B117" s="33">
        <f>w_uf*UF*Parámetros!C104</f>
        <v>1767707.0772168266</v>
      </c>
      <c r="C117" s="30">
        <f t="shared" si="272"/>
        <v>103</v>
      </c>
      <c r="D117" s="30">
        <f>((A117=Inputs!$C$12)*(Inputs!$D$12) + (A117=Inputs!$C$13)*(Inputs!$D$13) + (A117=Inputs!$C$14)*(Inputs!$D$14)) *(A117 &gt;= a_afil)*(A117&gt;=2024)</f>
        <v>0</v>
      </c>
      <c r="E117" s="30">
        <f>MIN(1,(A117=Inputs!$C$19)*Inputs!$D$19+(A117=Inputs!$C$20)*Inputs!$D$20+(A117=Inputs!$C$21)*Inputs!$D$21*(A117 &gt;= a_afil))</f>
        <v>0</v>
      </c>
      <c r="F117" s="30">
        <f t="shared" si="273"/>
        <v>0</v>
      </c>
      <c r="G117" s="30">
        <f t="shared" si="274"/>
        <v>0</v>
      </c>
      <c r="H117" s="30">
        <v>0.93155944347381592</v>
      </c>
      <c r="I117" s="37">
        <f t="shared" si="255"/>
        <v>0</v>
      </c>
      <c r="J117" s="37">
        <f t="shared" si="256"/>
        <v>0</v>
      </c>
      <c r="K117" s="30">
        <f>1*OR(Inputs!$D$17=$A117,Inputs!$E$17=$A117)*($E117=0)*(F117=1)</f>
        <v>0</v>
      </c>
      <c r="L117" s="30">
        <f>1*OR(Inputs!$D$17=$A117,Inputs!$E$17=$A117)*($E117=0)*(G117=1)</f>
        <v>0</v>
      </c>
      <c r="M117" s="73">
        <f t="shared" si="245"/>
        <v>0</v>
      </c>
      <c r="N117" s="73">
        <f t="shared" si="246"/>
        <v>0</v>
      </c>
      <c r="O117" s="55">
        <f>Parámetros!$E104*12*I117*$P$14</f>
        <v>0</v>
      </c>
      <c r="P117" s="55">
        <f>Parámetros!$E104*12*J117*$P$14</f>
        <v>0</v>
      </c>
      <c r="Q117" s="70">
        <f t="shared" si="225"/>
        <v>0</v>
      </c>
      <c r="R117" s="70">
        <f t="shared" si="226"/>
        <v>0</v>
      </c>
      <c r="S117" s="68">
        <f t="shared" si="270"/>
        <v>0</v>
      </c>
      <c r="T117" s="68">
        <f t="shared" si="271"/>
        <v>0</v>
      </c>
      <c r="U117" s="177"/>
      <c r="V117" s="68">
        <f t="shared" si="266"/>
        <v>0</v>
      </c>
      <c r="W117" s="68">
        <f t="shared" si="267"/>
        <v>0</v>
      </c>
      <c r="X117" s="54">
        <f t="shared" si="278"/>
        <v>0</v>
      </c>
      <c r="Y117" s="54">
        <f t="shared" si="279"/>
        <v>0</v>
      </c>
      <c r="Z117" s="55">
        <f t="shared" si="268"/>
        <v>0</v>
      </c>
      <c r="AA117" s="55">
        <f t="shared" si="269"/>
        <v>0</v>
      </c>
      <c r="AB117" s="53">
        <f>D117*mmater*Parámetros!$G104*$X$5+AB116*(1+i_noc)</f>
        <v>0</v>
      </c>
      <c r="AC117" s="53">
        <f>E117*12*Parámetros!$F104*$X$5+AC116*(1+i_noc)</f>
        <v>1819862.999511898</v>
      </c>
      <c r="AD117" s="53"/>
      <c r="AE117" s="53"/>
      <c r="AF117" s="175"/>
      <c r="AG117" s="74">
        <f t="shared" si="275"/>
        <v>0</v>
      </c>
      <c r="AH117" s="52">
        <f t="shared" si="276"/>
        <v>0</v>
      </c>
      <c r="AI117" s="56">
        <f t="shared" si="257"/>
        <v>0</v>
      </c>
      <c r="AJ117" s="56">
        <f t="shared" si="258"/>
        <v>0</v>
      </c>
      <c r="AK117" s="56"/>
      <c r="AL117" s="56"/>
      <c r="AM117" s="56"/>
      <c r="AN117" s="56"/>
      <c r="AO117" s="56">
        <f t="shared" si="259"/>
        <v>0</v>
      </c>
      <c r="AP117" s="56">
        <f t="shared" si="260"/>
        <v>0</v>
      </c>
      <c r="AQ117" s="53">
        <f t="shared" si="261"/>
        <v>0</v>
      </c>
      <c r="AR117" s="53">
        <f t="shared" si="262"/>
        <v>0</v>
      </c>
      <c r="AS117" s="39"/>
      <c r="AT117" s="68">
        <f t="shared" si="263"/>
        <v>0</v>
      </c>
      <c r="AU117" s="68">
        <f t="shared" si="264"/>
        <v>0</v>
      </c>
      <c r="AV117" s="68">
        <f t="shared" si="265"/>
        <v>0</v>
      </c>
      <c r="AW117" s="68">
        <f t="shared" si="277"/>
        <v>0</v>
      </c>
      <c r="AX117" s="39"/>
      <c r="AY117" s="39"/>
    </row>
    <row r="118" spans="1:51" x14ac:dyDescent="0.25">
      <c r="A118" s="30">
        <v>2083</v>
      </c>
      <c r="B118" s="33">
        <f>w_uf*UF*Parámetros!C105</f>
        <v>1789803.4156820369</v>
      </c>
      <c r="C118" s="30">
        <f t="shared" si="272"/>
        <v>104</v>
      </c>
      <c r="D118" s="30">
        <f>((A118=Inputs!$C$12)*(Inputs!$D$12) + (A118=Inputs!$C$13)*(Inputs!$D$13) + (A118=Inputs!$C$14)*(Inputs!$D$14)) *(A118 &gt;= a_afil)*(A118&gt;=2024)</f>
        <v>0</v>
      </c>
      <c r="E118" s="30">
        <f>MIN(1,(A118=Inputs!$C$19)*Inputs!$D$19+(A118=Inputs!$C$20)*Inputs!$D$20+(A118=Inputs!$C$21)*Inputs!$D$21*(A118 &gt;= a_afil))</f>
        <v>0</v>
      </c>
      <c r="F118" s="30">
        <f t="shared" si="273"/>
        <v>0</v>
      </c>
      <c r="G118" s="30">
        <f t="shared" si="274"/>
        <v>0</v>
      </c>
      <c r="H118" s="30">
        <v>0.51719242334365845</v>
      </c>
      <c r="I118" s="37">
        <f t="shared" si="255"/>
        <v>0</v>
      </c>
      <c r="J118" s="37">
        <f t="shared" si="256"/>
        <v>0</v>
      </c>
      <c r="K118" s="30">
        <f>1*OR(Inputs!$D$17=$A118,Inputs!$E$17=$A118)*($E118=0)*(F118=1)</f>
        <v>0</v>
      </c>
      <c r="L118" s="30">
        <f>1*OR(Inputs!$D$17=$A118,Inputs!$E$17=$A118)*($E118=0)*(G118=1)</f>
        <v>0</v>
      </c>
      <c r="M118" s="73">
        <f t="shared" si="245"/>
        <v>0</v>
      </c>
      <c r="N118" s="73">
        <f t="shared" si="246"/>
        <v>0</v>
      </c>
      <c r="O118" s="55">
        <f>Parámetros!$E105*12*I118*$P$14</f>
        <v>0</v>
      </c>
      <c r="P118" s="55">
        <f>Parámetros!$E105*12*J118*$P$14</f>
        <v>0</v>
      </c>
      <c r="Q118" s="70">
        <f t="shared" si="225"/>
        <v>0</v>
      </c>
      <c r="R118" s="70">
        <f t="shared" si="226"/>
        <v>0</v>
      </c>
      <c r="S118" s="68">
        <f t="shared" si="270"/>
        <v>0</v>
      </c>
      <c r="T118" s="68">
        <f t="shared" si="271"/>
        <v>0</v>
      </c>
      <c r="U118" s="177"/>
      <c r="V118" s="68">
        <f t="shared" si="266"/>
        <v>0</v>
      </c>
      <c r="W118" s="68">
        <f t="shared" si="267"/>
        <v>0</v>
      </c>
      <c r="X118" s="54">
        <f t="shared" si="278"/>
        <v>0</v>
      </c>
      <c r="Y118" s="54">
        <f t="shared" si="279"/>
        <v>0</v>
      </c>
      <c r="Z118" s="55">
        <f t="shared" si="268"/>
        <v>0</v>
      </c>
      <c r="AA118" s="55">
        <f t="shared" si="269"/>
        <v>0</v>
      </c>
      <c r="AB118" s="53">
        <f>D118*mmater*Parámetros!$G105*$X$5+AB117*(1+i_noc)</f>
        <v>0</v>
      </c>
      <c r="AC118" s="53">
        <f>E118*12*Parámetros!$F105*$X$5+AC117*(1+i_noc)</f>
        <v>1856260.2595021359</v>
      </c>
      <c r="AD118" s="53"/>
      <c r="AE118" s="53"/>
      <c r="AF118" s="175"/>
      <c r="AG118" s="74">
        <f t="shared" si="275"/>
        <v>0</v>
      </c>
      <c r="AH118" s="52">
        <f t="shared" si="276"/>
        <v>0</v>
      </c>
      <c r="AI118" s="56">
        <f t="shared" si="257"/>
        <v>0</v>
      </c>
      <c r="AJ118" s="56">
        <f t="shared" si="258"/>
        <v>0</v>
      </c>
      <c r="AK118" s="56"/>
      <c r="AL118" s="56"/>
      <c r="AM118" s="56"/>
      <c r="AN118" s="56"/>
      <c r="AO118" s="56">
        <f t="shared" si="259"/>
        <v>0</v>
      </c>
      <c r="AP118" s="56">
        <f t="shared" si="260"/>
        <v>0</v>
      </c>
      <c r="AQ118" s="53">
        <f t="shared" si="261"/>
        <v>0</v>
      </c>
      <c r="AR118" s="53">
        <f t="shared" si="262"/>
        <v>0</v>
      </c>
      <c r="AS118" s="39"/>
      <c r="AT118" s="68">
        <f t="shared" si="263"/>
        <v>0</v>
      </c>
      <c r="AU118" s="68">
        <f t="shared" si="264"/>
        <v>0</v>
      </c>
      <c r="AV118" s="68">
        <f t="shared" si="265"/>
        <v>0</v>
      </c>
      <c r="AW118" s="68">
        <f t="shared" si="277"/>
        <v>0</v>
      </c>
      <c r="AX118" s="39"/>
      <c r="AY118" s="39"/>
    </row>
    <row r="119" spans="1:51" x14ac:dyDescent="0.25">
      <c r="A119" s="30">
        <v>2084</v>
      </c>
      <c r="B119" s="33">
        <f>w_uf*UF*Parámetros!C106</f>
        <v>1812175.9583780621</v>
      </c>
      <c r="C119" s="30">
        <f t="shared" si="272"/>
        <v>105</v>
      </c>
      <c r="D119" s="30">
        <f>((A119=Inputs!$C$12)*(Inputs!$D$12) + (A119=Inputs!$C$13)*(Inputs!$D$13) + (A119=Inputs!$C$14)*(Inputs!$D$14)) *(A119 &gt;= a_afil)*(A119&gt;=2024)</f>
        <v>0</v>
      </c>
      <c r="E119" s="30">
        <f>MIN(1,(A119=Inputs!$C$19)*Inputs!$D$19+(A119=Inputs!$C$20)*Inputs!$D$20+(A119=Inputs!$C$21)*Inputs!$D$21*(A119 &gt;= a_afil))</f>
        <v>0</v>
      </c>
      <c r="F119" s="30">
        <f t="shared" si="273"/>
        <v>0</v>
      </c>
      <c r="G119" s="30">
        <f t="shared" si="274"/>
        <v>0</v>
      </c>
      <c r="H119" s="30">
        <v>0.33030080795288086</v>
      </c>
      <c r="I119" s="37">
        <f t="shared" si="255"/>
        <v>0</v>
      </c>
      <c r="J119" s="37">
        <f t="shared" si="256"/>
        <v>0</v>
      </c>
      <c r="K119" s="30">
        <f>1*OR(Inputs!$D$17=$A119,Inputs!$E$17=$A119)*($E119=0)*(F119=1)</f>
        <v>0</v>
      </c>
      <c r="L119" s="30">
        <f>1*OR(Inputs!$D$17=$A119,Inputs!$E$17=$A119)*($E119=0)*(G119=1)</f>
        <v>0</v>
      </c>
      <c r="M119" s="73">
        <f t="shared" si="245"/>
        <v>0</v>
      </c>
      <c r="N119" s="73">
        <f t="shared" si="246"/>
        <v>0</v>
      </c>
      <c r="O119" s="55">
        <f>Parámetros!$E106*12*I119*$P$14</f>
        <v>0</v>
      </c>
      <c r="P119" s="55">
        <f>Parámetros!$E106*12*J119*$P$14</f>
        <v>0</v>
      </c>
      <c r="Q119" s="70">
        <f t="shared" si="225"/>
        <v>0</v>
      </c>
      <c r="R119" s="70">
        <f t="shared" si="226"/>
        <v>0</v>
      </c>
      <c r="S119" s="68">
        <f t="shared" si="270"/>
        <v>0</v>
      </c>
      <c r="T119" s="68">
        <f t="shared" si="271"/>
        <v>0</v>
      </c>
      <c r="U119" s="177"/>
      <c r="V119" s="68">
        <f t="shared" si="266"/>
        <v>0</v>
      </c>
      <c r="W119" s="68">
        <f t="shared" si="267"/>
        <v>0</v>
      </c>
      <c r="X119" s="54">
        <f t="shared" si="278"/>
        <v>0</v>
      </c>
      <c r="Y119" s="54">
        <f t="shared" si="279"/>
        <v>0</v>
      </c>
      <c r="Z119" s="55">
        <f t="shared" si="268"/>
        <v>0</v>
      </c>
      <c r="AA119" s="55">
        <f t="shared" si="269"/>
        <v>0</v>
      </c>
      <c r="AB119" s="53">
        <f>D119*mmater*Parámetros!$G106*$X$5+AB118*(1+i_noc)</f>
        <v>0</v>
      </c>
      <c r="AC119" s="53">
        <f>E119*12*Parámetros!$F106*$X$5+AC118*(1+i_noc)</f>
        <v>1893385.4646921786</v>
      </c>
      <c r="AD119" s="53"/>
      <c r="AE119" s="53"/>
      <c r="AF119" s="175"/>
      <c r="AG119" s="74">
        <f t="shared" si="275"/>
        <v>0</v>
      </c>
      <c r="AH119" s="52">
        <f t="shared" si="276"/>
        <v>0</v>
      </c>
      <c r="AI119" s="56">
        <f t="shared" si="257"/>
        <v>0</v>
      </c>
      <c r="AJ119" s="56">
        <f t="shared" si="258"/>
        <v>0</v>
      </c>
      <c r="AK119" s="56"/>
      <c r="AL119" s="56"/>
      <c r="AM119" s="56"/>
      <c r="AN119" s="56"/>
      <c r="AO119" s="56">
        <f t="shared" si="259"/>
        <v>0</v>
      </c>
      <c r="AP119" s="56">
        <f t="shared" si="260"/>
        <v>0</v>
      </c>
      <c r="AQ119" s="53">
        <f t="shared" si="261"/>
        <v>0</v>
      </c>
      <c r="AR119" s="53">
        <f t="shared" si="262"/>
        <v>0</v>
      </c>
      <c r="AS119" s="39"/>
      <c r="AT119" s="68">
        <f t="shared" si="263"/>
        <v>0</v>
      </c>
      <c r="AU119" s="68">
        <f t="shared" si="264"/>
        <v>0</v>
      </c>
      <c r="AV119" s="68">
        <f t="shared" si="265"/>
        <v>0</v>
      </c>
      <c r="AW119" s="68">
        <f t="shared" si="277"/>
        <v>0</v>
      </c>
      <c r="AX119" s="39"/>
      <c r="AY119" s="39"/>
    </row>
    <row r="120" spans="1:51" x14ac:dyDescent="0.25">
      <c r="A120" s="30">
        <v>2085</v>
      </c>
      <c r="B120" s="33">
        <f>w_uf*UF*Parámetros!C107</f>
        <v>1834828.157857788</v>
      </c>
      <c r="C120" s="30">
        <f t="shared" si="272"/>
        <v>106</v>
      </c>
      <c r="D120" s="30">
        <f>((A120=Inputs!$C$12)*(Inputs!$D$12) + (A120=Inputs!$C$13)*(Inputs!$D$13) + (A120=Inputs!$C$14)*(Inputs!$D$14)) *(A120 &gt;= a_afil)*(A120&gt;=2024)</f>
        <v>0</v>
      </c>
      <c r="E120" s="30">
        <f>MIN(1,(A120=Inputs!$C$19)*Inputs!$D$19+(A120=Inputs!$C$20)*Inputs!$D$20+(A120=Inputs!$C$21)*Inputs!$D$21*(A120 &gt;= a_afil))</f>
        <v>0</v>
      </c>
      <c r="F120" s="30">
        <f t="shared" si="273"/>
        <v>0</v>
      </c>
      <c r="G120" s="30">
        <f t="shared" si="274"/>
        <v>0</v>
      </c>
      <c r="H120" s="30">
        <v>0.86845368146896362</v>
      </c>
      <c r="I120" s="37">
        <f t="shared" si="255"/>
        <v>0</v>
      </c>
      <c r="J120" s="37">
        <f t="shared" si="256"/>
        <v>0</v>
      </c>
      <c r="K120" s="30">
        <f>1*OR(Inputs!$D$17=$A120,Inputs!$E$17=$A120)*($E120=0)*(F120=1)</f>
        <v>0</v>
      </c>
      <c r="L120" s="30">
        <f>1*OR(Inputs!$D$17=$A120,Inputs!$E$17=$A120)*($E120=0)*(G120=1)</f>
        <v>0</v>
      </c>
      <c r="M120" s="73">
        <f t="shared" si="245"/>
        <v>0</v>
      </c>
      <c r="N120" s="73">
        <f t="shared" si="246"/>
        <v>0</v>
      </c>
      <c r="O120" s="55">
        <f>Parámetros!$E107*12*I120*$P$14</f>
        <v>0</v>
      </c>
      <c r="P120" s="55">
        <f>Parámetros!$E107*12*J120*$P$14</f>
        <v>0</v>
      </c>
      <c r="Q120" s="70">
        <f t="shared" si="225"/>
        <v>0</v>
      </c>
      <c r="R120" s="70">
        <f t="shared" si="226"/>
        <v>0</v>
      </c>
      <c r="S120" s="68">
        <f t="shared" si="270"/>
        <v>0</v>
      </c>
      <c r="T120" s="68">
        <f t="shared" si="271"/>
        <v>0</v>
      </c>
      <c r="U120" s="177"/>
      <c r="V120" s="68">
        <f t="shared" si="266"/>
        <v>0</v>
      </c>
      <c r="W120" s="68">
        <f t="shared" si="267"/>
        <v>0</v>
      </c>
      <c r="X120" s="54">
        <f t="shared" si="278"/>
        <v>0</v>
      </c>
      <c r="Y120" s="54">
        <f t="shared" si="279"/>
        <v>0</v>
      </c>
      <c r="Z120" s="55">
        <f t="shared" si="268"/>
        <v>0</v>
      </c>
      <c r="AA120" s="55">
        <f t="shared" si="269"/>
        <v>0</v>
      </c>
      <c r="AB120" s="53">
        <f>D120*mmater*Parámetros!$G107*$X$5+AB119*(1+i_noc)</f>
        <v>0</v>
      </c>
      <c r="AC120" s="53">
        <f>E120*12*Parámetros!$F107*$X$5+AC119*(1+i_noc)</f>
        <v>1931253.1739860224</v>
      </c>
      <c r="AD120" s="53"/>
      <c r="AE120" s="53"/>
      <c r="AF120" s="175"/>
      <c r="AG120" s="74">
        <f t="shared" si="275"/>
        <v>0</v>
      </c>
      <c r="AH120" s="52">
        <f t="shared" si="276"/>
        <v>0</v>
      </c>
      <c r="AI120" s="56">
        <f t="shared" si="257"/>
        <v>0</v>
      </c>
      <c r="AJ120" s="56">
        <f t="shared" si="258"/>
        <v>0</v>
      </c>
      <c r="AK120" s="56"/>
      <c r="AL120" s="56"/>
      <c r="AM120" s="56"/>
      <c r="AN120" s="56"/>
      <c r="AO120" s="56">
        <f t="shared" si="259"/>
        <v>0</v>
      </c>
      <c r="AP120" s="56">
        <f t="shared" si="260"/>
        <v>0</v>
      </c>
      <c r="AQ120" s="53">
        <f t="shared" si="261"/>
        <v>0</v>
      </c>
      <c r="AR120" s="53">
        <f t="shared" si="262"/>
        <v>0</v>
      </c>
      <c r="AS120" s="39"/>
      <c r="AT120" s="68">
        <f t="shared" si="263"/>
        <v>0</v>
      </c>
      <c r="AU120" s="68">
        <f t="shared" si="264"/>
        <v>0</v>
      </c>
      <c r="AV120" s="68">
        <f t="shared" si="265"/>
        <v>0</v>
      </c>
      <c r="AW120" s="68">
        <f t="shared" si="277"/>
        <v>0</v>
      </c>
      <c r="AX120" s="39"/>
      <c r="AY120" s="39"/>
    </row>
    <row r="121" spans="1:51" x14ac:dyDescent="0.25">
      <c r="A121" s="30">
        <v>2086</v>
      </c>
      <c r="B121" s="33">
        <f>w_uf*UF*Parámetros!C108</f>
        <v>1857763.5098310101</v>
      </c>
      <c r="C121" s="30">
        <f t="shared" si="272"/>
        <v>107</v>
      </c>
      <c r="D121" s="30">
        <f>((A121=Inputs!$C$12)*(Inputs!$D$12) + (A121=Inputs!$C$13)*(Inputs!$D$13) + (A121=Inputs!$C$14)*(Inputs!$D$14)) *(A121 &gt;= a_afil)*(A121&gt;=2024)</f>
        <v>0</v>
      </c>
      <c r="E121" s="30">
        <f>MIN(1,(A121=Inputs!$C$19)*Inputs!$D$19+(A121=Inputs!$C$20)*Inputs!$D$20+(A121=Inputs!$C$21)*Inputs!$D$21*(A121 &gt;= a_afil))</f>
        <v>0</v>
      </c>
      <c r="F121" s="30">
        <f t="shared" si="273"/>
        <v>0</v>
      </c>
      <c r="G121" s="30">
        <f t="shared" si="274"/>
        <v>0</v>
      </c>
      <c r="H121" s="30">
        <v>0.25906097888946533</v>
      </c>
      <c r="I121" s="37">
        <f t="shared" si="255"/>
        <v>0</v>
      </c>
      <c r="J121" s="37">
        <f t="shared" si="256"/>
        <v>0</v>
      </c>
      <c r="K121" s="30">
        <f>1*OR(Inputs!$D$17=$A121,Inputs!$E$17=$A121)*($E121=0)*(F121=1)</f>
        <v>0</v>
      </c>
      <c r="L121" s="30">
        <f>1*OR(Inputs!$D$17=$A121,Inputs!$E$17=$A121)*($E121=0)*(G121=1)</f>
        <v>0</v>
      </c>
      <c r="M121" s="73">
        <f t="shared" si="245"/>
        <v>0</v>
      </c>
      <c r="N121" s="73">
        <f t="shared" si="246"/>
        <v>0</v>
      </c>
      <c r="O121" s="55">
        <f>Parámetros!$E108*12*I121*$P$14</f>
        <v>0</v>
      </c>
      <c r="P121" s="55">
        <f>Parámetros!$E108*12*J121*$P$14</f>
        <v>0</v>
      </c>
      <c r="Q121" s="70">
        <f t="shared" si="225"/>
        <v>0</v>
      </c>
      <c r="R121" s="70">
        <f t="shared" si="226"/>
        <v>0</v>
      </c>
      <c r="S121" s="68">
        <f t="shared" si="270"/>
        <v>0</v>
      </c>
      <c r="T121" s="68">
        <f t="shared" si="271"/>
        <v>0</v>
      </c>
      <c r="U121" s="177"/>
      <c r="V121" s="68">
        <f t="shared" si="266"/>
        <v>0</v>
      </c>
      <c r="W121" s="68">
        <f t="shared" si="267"/>
        <v>0</v>
      </c>
      <c r="X121" s="54">
        <f t="shared" si="278"/>
        <v>0</v>
      </c>
      <c r="Y121" s="54">
        <f t="shared" si="279"/>
        <v>0</v>
      </c>
      <c r="Z121" s="55">
        <f t="shared" si="268"/>
        <v>0</v>
      </c>
      <c r="AA121" s="55">
        <f t="shared" si="269"/>
        <v>0</v>
      </c>
      <c r="AB121" s="53">
        <f>D121*mmater*Parámetros!$G108*$X$5+AB120*(1+i_noc)</f>
        <v>0</v>
      </c>
      <c r="AC121" s="53">
        <f>E121*12*Parámetros!$F108*$X$5+AC120*(1+i_noc)</f>
        <v>1969878.2374657427</v>
      </c>
      <c r="AD121" s="53"/>
      <c r="AE121" s="53"/>
      <c r="AF121" s="175"/>
      <c r="AG121" s="74">
        <f t="shared" si="275"/>
        <v>0</v>
      </c>
      <c r="AH121" s="52">
        <f t="shared" si="276"/>
        <v>0</v>
      </c>
      <c r="AI121" s="56">
        <f t="shared" si="257"/>
        <v>0</v>
      </c>
      <c r="AJ121" s="56">
        <f t="shared" si="258"/>
        <v>0</v>
      </c>
      <c r="AK121" s="56"/>
      <c r="AL121" s="56"/>
      <c r="AM121" s="56"/>
      <c r="AN121" s="56"/>
      <c r="AO121" s="56">
        <f t="shared" si="259"/>
        <v>0</v>
      </c>
      <c r="AP121" s="56">
        <f t="shared" si="260"/>
        <v>0</v>
      </c>
      <c r="AQ121" s="53">
        <f t="shared" si="261"/>
        <v>0</v>
      </c>
      <c r="AR121" s="53">
        <f t="shared" si="262"/>
        <v>0</v>
      </c>
      <c r="AS121" s="39"/>
      <c r="AT121" s="68">
        <f t="shared" si="263"/>
        <v>0</v>
      </c>
      <c r="AU121" s="68">
        <f t="shared" si="264"/>
        <v>0</v>
      </c>
      <c r="AV121" s="68">
        <f t="shared" si="265"/>
        <v>0</v>
      </c>
      <c r="AW121" s="68">
        <f t="shared" si="277"/>
        <v>0</v>
      </c>
      <c r="AX121" s="39"/>
      <c r="AY121" s="39"/>
    </row>
    <row r="122" spans="1:51" x14ac:dyDescent="0.25">
      <c r="A122" s="30">
        <v>2087</v>
      </c>
      <c r="B122" s="33">
        <f>w_uf*UF*Parámetros!C109</f>
        <v>1880985.5537038976</v>
      </c>
      <c r="C122" s="30">
        <f t="shared" si="272"/>
        <v>108</v>
      </c>
      <c r="D122" s="30">
        <f>((A122=Inputs!$C$12)*(Inputs!$D$12) + (A122=Inputs!$C$13)*(Inputs!$D$13) + (A122=Inputs!$C$14)*(Inputs!$D$14)) *(A122 &gt;= a_afil)*(A122&gt;=2024)</f>
        <v>0</v>
      </c>
      <c r="E122" s="30">
        <f>MIN(1,(A122=Inputs!$C$19)*Inputs!$D$19+(A122=Inputs!$C$20)*Inputs!$D$20+(A122=Inputs!$C$21)*Inputs!$D$21*(A122 &gt;= a_afil))</f>
        <v>0</v>
      </c>
      <c r="F122" s="30">
        <f t="shared" si="273"/>
        <v>0</v>
      </c>
      <c r="G122" s="30">
        <f t="shared" si="274"/>
        <v>0</v>
      </c>
      <c r="H122" s="30">
        <v>0.25954133272171021</v>
      </c>
      <c r="I122" s="37">
        <f t="shared" ref="I122:I134" si="280">IF(F122=1,+dens_cot,0)</f>
        <v>0</v>
      </c>
      <c r="J122" s="37">
        <f t="shared" si="256"/>
        <v>0</v>
      </c>
      <c r="K122" s="30">
        <f>1*OR(Inputs!$D$17=$A122,Inputs!$E$17=$A122)*($E122=0)*(F122=1)</f>
        <v>0</v>
      </c>
      <c r="L122" s="30">
        <f>1*OR(Inputs!$D$17=$A122,Inputs!$E$17=$A122)*($E122=0)*(G122=1)</f>
        <v>0</v>
      </c>
      <c r="M122" s="73">
        <f t="shared" si="245"/>
        <v>0</v>
      </c>
      <c r="N122" s="73">
        <f t="shared" si="246"/>
        <v>0</v>
      </c>
      <c r="O122" s="55">
        <f>Parámetros!$E109*12*I122*$P$14</f>
        <v>0</v>
      </c>
      <c r="P122" s="55">
        <f>Parámetros!$E109*12*J122*$P$14</f>
        <v>0</v>
      </c>
      <c r="Q122" s="70">
        <f t="shared" si="225"/>
        <v>0</v>
      </c>
      <c r="R122" s="70">
        <f t="shared" si="226"/>
        <v>0</v>
      </c>
      <c r="S122" s="68">
        <f t="shared" si="270"/>
        <v>0</v>
      </c>
      <c r="T122" s="68">
        <f t="shared" si="271"/>
        <v>0</v>
      </c>
      <c r="U122" s="177"/>
      <c r="V122" s="68">
        <f t="shared" si="266"/>
        <v>0</v>
      </c>
      <c r="W122" s="68">
        <f t="shared" si="267"/>
        <v>0</v>
      </c>
      <c r="X122" s="54">
        <f t="shared" si="278"/>
        <v>0</v>
      </c>
      <c r="Y122" s="54">
        <f t="shared" si="279"/>
        <v>0</v>
      </c>
      <c r="Z122" s="55">
        <f t="shared" si="268"/>
        <v>0</v>
      </c>
      <c r="AA122" s="55">
        <f t="shared" si="269"/>
        <v>0</v>
      </c>
      <c r="AB122" s="53">
        <f>D122*mmater*Parámetros!$G109*$X$5+AB121*(1+i_noc)</f>
        <v>0</v>
      </c>
      <c r="AC122" s="53">
        <f>E122*12*Parámetros!$F109*$X$5+AC121*(1+i_noc)</f>
        <v>2009275.8022150577</v>
      </c>
      <c r="AD122" s="53"/>
      <c r="AE122" s="53"/>
      <c r="AF122" s="175"/>
      <c r="AG122" s="74">
        <f t="shared" si="275"/>
        <v>0</v>
      </c>
      <c r="AH122" s="52">
        <f t="shared" si="276"/>
        <v>0</v>
      </c>
      <c r="AI122" s="56">
        <f t="shared" si="257"/>
        <v>0</v>
      </c>
      <c r="AJ122" s="56">
        <f t="shared" si="258"/>
        <v>0</v>
      </c>
      <c r="AK122" s="56"/>
      <c r="AL122" s="56"/>
      <c r="AM122" s="56"/>
      <c r="AN122" s="56"/>
      <c r="AO122" s="56">
        <f t="shared" si="259"/>
        <v>0</v>
      </c>
      <c r="AP122" s="56">
        <f t="shared" si="260"/>
        <v>0</v>
      </c>
      <c r="AQ122" s="53">
        <f t="shared" si="261"/>
        <v>0</v>
      </c>
      <c r="AR122" s="53">
        <f t="shared" si="262"/>
        <v>0</v>
      </c>
      <c r="AS122" s="39"/>
      <c r="AT122" s="68">
        <f t="shared" si="263"/>
        <v>0</v>
      </c>
      <c r="AU122" s="68">
        <f t="shared" si="264"/>
        <v>0</v>
      </c>
      <c r="AV122" s="68">
        <f t="shared" si="265"/>
        <v>0</v>
      </c>
      <c r="AW122" s="68">
        <f t="shared" si="277"/>
        <v>0</v>
      </c>
      <c r="AX122" s="39"/>
      <c r="AY122" s="39"/>
    </row>
    <row r="123" spans="1:51" x14ac:dyDescent="0.25">
      <c r="A123" s="30">
        <v>2088</v>
      </c>
      <c r="B123" s="33">
        <f>w_uf*UF*Parámetros!C110</f>
        <v>1904497.8731251962</v>
      </c>
      <c r="C123" s="30">
        <f t="shared" si="272"/>
        <v>109</v>
      </c>
      <c r="D123" s="30">
        <f>((A123=Inputs!$C$12)*(Inputs!$D$12) + (A123=Inputs!$C$13)*(Inputs!$D$13) + (A123=Inputs!$C$14)*(Inputs!$D$14)) *(A123 &gt;= a_afil)*(A123&gt;=2024)</f>
        <v>0</v>
      </c>
      <c r="E123" s="30">
        <f>MIN(1,(A123=Inputs!$C$19)*Inputs!$D$19+(A123=Inputs!$C$20)*Inputs!$D$20+(A123=Inputs!$C$21)*Inputs!$D$21*(A123 &gt;= a_afil))</f>
        <v>0</v>
      </c>
      <c r="F123" s="30">
        <f t="shared" si="273"/>
        <v>0</v>
      </c>
      <c r="G123" s="30">
        <f t="shared" si="274"/>
        <v>0</v>
      </c>
      <c r="H123" s="30">
        <v>0.17869353294372559</v>
      </c>
      <c r="I123" s="37">
        <f t="shared" si="280"/>
        <v>0</v>
      </c>
      <c r="J123" s="37">
        <f t="shared" si="256"/>
        <v>0</v>
      </c>
      <c r="K123" s="30">
        <f>1*OR(Inputs!$D$17=$A123,Inputs!$E$17=$A123)*($E123=0)*(F123=1)</f>
        <v>0</v>
      </c>
      <c r="L123" s="30">
        <f>1*OR(Inputs!$D$17=$A123,Inputs!$E$17=$A123)*($E123=0)*(G123=1)</f>
        <v>0</v>
      </c>
      <c r="M123" s="73">
        <f t="shared" si="245"/>
        <v>0</v>
      </c>
      <c r="N123" s="73">
        <f t="shared" si="246"/>
        <v>0</v>
      </c>
      <c r="O123" s="55">
        <f>Parámetros!$E110*12*I123*$P$14</f>
        <v>0</v>
      </c>
      <c r="P123" s="55">
        <f>Parámetros!$E110*12*J123*$P$14</f>
        <v>0</v>
      </c>
      <c r="Q123" s="70">
        <f t="shared" ref="Q123:Q135" si="281">MIN($B123,_xlfn.XLOOKUP($A123,agnos,tope_base)*UF)*12*I123*$X$2</f>
        <v>0</v>
      </c>
      <c r="R123" s="70">
        <f t="shared" ref="R123:R135" si="282">MIN($B123,_xlfn.XLOOKUP($A123,agnos,tope_base)*UF)*12*J123*$X$2</f>
        <v>0</v>
      </c>
      <c r="S123" s="68">
        <f t="shared" si="270"/>
        <v>0</v>
      </c>
      <c r="T123" s="68">
        <f t="shared" si="271"/>
        <v>0</v>
      </c>
      <c r="U123" s="177"/>
      <c r="V123" s="68">
        <f t="shared" si="266"/>
        <v>0</v>
      </c>
      <c r="W123" s="68">
        <f t="shared" si="267"/>
        <v>0</v>
      </c>
      <c r="X123" s="54">
        <f t="shared" si="278"/>
        <v>0</v>
      </c>
      <c r="Y123" s="54">
        <f t="shared" si="279"/>
        <v>0</v>
      </c>
      <c r="Z123" s="55">
        <f t="shared" si="268"/>
        <v>0</v>
      </c>
      <c r="AA123" s="55">
        <f t="shared" si="269"/>
        <v>0</v>
      </c>
      <c r="AB123" s="53">
        <f>D123*mmater*Parámetros!$G110*$X$5+AB122*(1+i_noc)</f>
        <v>0</v>
      </c>
      <c r="AC123" s="53">
        <f>E123*12*Parámetros!$F110*$X$5+AC122*(1+i_noc)</f>
        <v>2049461.3182593589</v>
      </c>
      <c r="AD123" s="53"/>
      <c r="AE123" s="53"/>
      <c r="AF123" s="175"/>
      <c r="AG123" s="74">
        <f t="shared" si="275"/>
        <v>0</v>
      </c>
      <c r="AH123" s="52">
        <f t="shared" si="276"/>
        <v>0</v>
      </c>
      <c r="AI123" s="56">
        <f t="shared" ref="AI123:AI135" si="283">($A123=D$9)*SUM(V123,Z123)/(12*_xlfn.XLOOKUP(AI$15,sexo_cnu,cnu))</f>
        <v>0</v>
      </c>
      <c r="AJ123" s="56">
        <f t="shared" ref="AJ123:AJ135" si="284">($A123=E$9)*SUM(W123,AA123)/(12*_xlfn.XLOOKUP(AJ$15,sexo_cnu,cnu))</f>
        <v>0</v>
      </c>
      <c r="AK123" s="56"/>
      <c r="AL123" s="56"/>
      <c r="AM123" s="56"/>
      <c r="AN123" s="56"/>
      <c r="AO123" s="56">
        <f t="shared" ref="AO123:AO135" si="285">($A123=E$9)*AB123/(12*_xlfn.XLOOKUP(AO$15,sexo_cnu,cnu_noc))</f>
        <v>0</v>
      </c>
      <c r="AP123" s="56">
        <f t="shared" ref="AP123:AP135" si="286">($A123=E$9)*AC123/(12*_xlfn.XLOOKUP(AP$15,sexo_cnu,cnu_noc))</f>
        <v>0</v>
      </c>
      <c r="AQ123" s="53">
        <f t="shared" ref="AQ123:AQ135" si="287">($A123=D$9)*AD123/(12*_xlfn.XLOOKUP(AQ$15,sexo_cnu,cnu_noc))</f>
        <v>0</v>
      </c>
      <c r="AR123" s="53">
        <f t="shared" ref="AR123:AR135" si="288">($A123=E$9)*AE123/(12*_xlfn.XLOOKUP(AR$15,sexo_cnu,cnu_noc))</f>
        <v>0</v>
      </c>
      <c r="AS123" s="39"/>
      <c r="AT123" s="68">
        <f t="shared" ref="AT123:AT135" si="289">IF($A123=a_nac+edad_ret_h,V123/(12*_xlfn.XLOOKUP(AT$15,sexo_cnu,cnu)),0)</f>
        <v>0</v>
      </c>
      <c r="AU123" s="68">
        <f t="shared" ref="AU123:AU135" si="290">IF($A123=a_nac+edad_ret_m,W123/(12*_xlfn.XLOOKUP(AU$15,sexo_cnu,cnu)),0)</f>
        <v>0</v>
      </c>
      <c r="AV123" s="68">
        <f t="shared" ref="AV123:AV135" si="291">IF($A123=a_nac+edad_ret_h,Z123/(12*_xlfn.XLOOKUP(AV$15,sexo_cnu,cnu)),0)</f>
        <v>0</v>
      </c>
      <c r="AW123" s="68">
        <f t="shared" si="277"/>
        <v>0</v>
      </c>
      <c r="AX123" s="39"/>
      <c r="AY123" s="39"/>
    </row>
    <row r="124" spans="1:51" x14ac:dyDescent="0.25">
      <c r="A124" s="30">
        <v>2089</v>
      </c>
      <c r="B124" s="33">
        <f>w_uf*UF*Parámetros!C111</f>
        <v>1928304.0965392611</v>
      </c>
      <c r="C124" s="30">
        <f t="shared" si="272"/>
        <v>110</v>
      </c>
      <c r="D124" s="30">
        <f>((A124=Inputs!$C$12)*(Inputs!$D$12) + (A124=Inputs!$C$13)*(Inputs!$D$13) + (A124=Inputs!$C$14)*(Inputs!$D$14)) *(A124 &gt;= a_afil)*(A124&gt;=2024)</f>
        <v>0</v>
      </c>
      <c r="E124" s="30">
        <f>MIN(1,(A124=Inputs!$C$19)*Inputs!$D$19+(A124=Inputs!$C$20)*Inputs!$D$20+(A124=Inputs!$C$21)*Inputs!$D$21*(A124 &gt;= a_afil))</f>
        <v>0</v>
      </c>
      <c r="F124" s="30">
        <f t="shared" si="273"/>
        <v>0</v>
      </c>
      <c r="G124" s="30">
        <f t="shared" si="274"/>
        <v>0</v>
      </c>
      <c r="H124" s="30">
        <v>0.34695714712142944</v>
      </c>
      <c r="I124" s="37">
        <f t="shared" si="280"/>
        <v>0</v>
      </c>
      <c r="J124" s="37">
        <f t="shared" si="256"/>
        <v>0</v>
      </c>
      <c r="K124" s="30">
        <f>1*OR(Inputs!$D$17=$A124,Inputs!$E$17=$A124)*($E124=0)*(F124=1)</f>
        <v>0</v>
      </c>
      <c r="L124" s="30">
        <f>1*OR(Inputs!$D$17=$A124,Inputs!$E$17=$A124)*($E124=0)*(G124=1)</f>
        <v>0</v>
      </c>
      <c r="M124" s="73">
        <f t="shared" si="245"/>
        <v>0</v>
      </c>
      <c r="N124" s="73">
        <f t="shared" si="246"/>
        <v>0</v>
      </c>
      <c r="O124" s="55">
        <f>Parámetros!$E111*12*I124*$P$14</f>
        <v>0</v>
      </c>
      <c r="P124" s="55">
        <f>Parámetros!$E111*12*J124*$P$14</f>
        <v>0</v>
      </c>
      <c r="Q124" s="70">
        <f t="shared" si="281"/>
        <v>0</v>
      </c>
      <c r="R124" s="70">
        <f t="shared" si="282"/>
        <v>0</v>
      </c>
      <c r="S124" s="68">
        <f t="shared" si="270"/>
        <v>0</v>
      </c>
      <c r="T124" s="68">
        <f t="shared" si="271"/>
        <v>0</v>
      </c>
      <c r="U124" s="177"/>
      <c r="V124" s="68">
        <f t="shared" si="266"/>
        <v>0</v>
      </c>
      <c r="W124" s="68">
        <f t="shared" si="267"/>
        <v>0</v>
      </c>
      <c r="X124" s="54">
        <f t="shared" si="278"/>
        <v>0</v>
      </c>
      <c r="Y124" s="54">
        <f t="shared" si="279"/>
        <v>0</v>
      </c>
      <c r="Z124" s="55">
        <f t="shared" si="268"/>
        <v>0</v>
      </c>
      <c r="AA124" s="55">
        <f t="shared" si="269"/>
        <v>0</v>
      </c>
      <c r="AB124" s="53">
        <f>D124*mmater*Parámetros!$G111*$X$5+AB123*(1+i_noc)</f>
        <v>0</v>
      </c>
      <c r="AC124" s="53">
        <f>E124*12*Parámetros!$F111*$X$5+AC123*(1+i_noc)</f>
        <v>2090450.5446245461</v>
      </c>
      <c r="AD124" s="53"/>
      <c r="AE124" s="53"/>
      <c r="AF124" s="175"/>
      <c r="AG124" s="74">
        <f t="shared" si="275"/>
        <v>0</v>
      </c>
      <c r="AH124" s="52">
        <f t="shared" si="276"/>
        <v>0</v>
      </c>
      <c r="AI124" s="56">
        <f t="shared" si="283"/>
        <v>0</v>
      </c>
      <c r="AJ124" s="56">
        <f t="shared" si="284"/>
        <v>0</v>
      </c>
      <c r="AK124" s="56"/>
      <c r="AL124" s="56"/>
      <c r="AM124" s="56"/>
      <c r="AN124" s="56"/>
      <c r="AO124" s="56">
        <f t="shared" si="285"/>
        <v>0</v>
      </c>
      <c r="AP124" s="56">
        <f t="shared" si="286"/>
        <v>0</v>
      </c>
      <c r="AQ124" s="53">
        <f t="shared" si="287"/>
        <v>0</v>
      </c>
      <c r="AR124" s="53">
        <f t="shared" si="288"/>
        <v>0</v>
      </c>
      <c r="AS124" s="39"/>
      <c r="AT124" s="68">
        <f t="shared" si="289"/>
        <v>0</v>
      </c>
      <c r="AU124" s="68">
        <f t="shared" si="290"/>
        <v>0</v>
      </c>
      <c r="AV124" s="68">
        <f t="shared" si="291"/>
        <v>0</v>
      </c>
      <c r="AW124" s="68">
        <f t="shared" si="277"/>
        <v>0</v>
      </c>
      <c r="AX124" s="39"/>
      <c r="AY124" s="39"/>
    </row>
    <row r="125" spans="1:51" x14ac:dyDescent="0.25">
      <c r="A125" s="30">
        <v>2090</v>
      </c>
      <c r="B125" s="33">
        <f>w_uf*UF*Parámetros!C112</f>
        <v>1952407.8977460021</v>
      </c>
      <c r="C125" s="30" t="str">
        <f t="shared" si="272"/>
        <v/>
      </c>
      <c r="D125" s="30">
        <f>((A125=Inputs!$C$12)*(Inputs!$D$12) + (A125=Inputs!$C$13)*(Inputs!$D$13) + (A125=Inputs!$C$14)*(Inputs!$D$14)) *(A125 &gt;= a_afil)*(A125&gt;=2024)</f>
        <v>0</v>
      </c>
      <c r="E125" s="30">
        <f>MIN(1,(A125=Inputs!$C$19)*Inputs!$D$19+(A125=Inputs!$C$20)*Inputs!$D$20+(A125=Inputs!$C$21)*Inputs!$D$21*(A125 &gt;= a_afil))</f>
        <v>0</v>
      </c>
      <c r="F125" s="30">
        <f t="shared" si="273"/>
        <v>0</v>
      </c>
      <c r="G125" s="30">
        <f t="shared" si="274"/>
        <v>0</v>
      </c>
      <c r="H125" s="30">
        <v>2.5056600570678711E-3</v>
      </c>
      <c r="I125" s="37">
        <f t="shared" si="280"/>
        <v>0</v>
      </c>
      <c r="J125" s="37">
        <f t="shared" si="256"/>
        <v>0</v>
      </c>
      <c r="K125" s="30">
        <f>1*OR(Inputs!$D$17=$A125,Inputs!$E$17=$A125)*($E125=0)*(F125=1)</f>
        <v>0</v>
      </c>
      <c r="L125" s="30">
        <f>1*OR(Inputs!$D$17=$A125,Inputs!$E$17=$A125)*($E125=0)*(G125=1)</f>
        <v>0</v>
      </c>
      <c r="M125" s="73">
        <f t="shared" si="245"/>
        <v>0</v>
      </c>
      <c r="N125" s="73">
        <f t="shared" si="246"/>
        <v>0</v>
      </c>
      <c r="O125" s="55">
        <f>Parámetros!$E112*12*I125*$P$14</f>
        <v>0</v>
      </c>
      <c r="P125" s="55">
        <f>Parámetros!$E112*12*J125*$P$14</f>
        <v>0</v>
      </c>
      <c r="Q125" s="70">
        <f t="shared" si="281"/>
        <v>0</v>
      </c>
      <c r="R125" s="70">
        <f t="shared" si="282"/>
        <v>0</v>
      </c>
      <c r="S125" s="68">
        <f t="shared" si="270"/>
        <v>0</v>
      </c>
      <c r="T125" s="68">
        <f t="shared" si="271"/>
        <v>0</v>
      </c>
      <c r="U125" s="177"/>
      <c r="V125" s="68">
        <f t="shared" ref="V125:V135" si="292">M125*alpha+O125*(1-alpha)+F124*V124*(1+_xlfn.XLOOKUP(MIN(2024,$A124),agnos_rent,rent_base))*(1-$X$6)</f>
        <v>0</v>
      </c>
      <c r="W125" s="68">
        <f t="shared" ref="W125:W135" si="293">N125*alpha+P125*(1-alpha)+G124*W124*(1+_xlfn.XLOOKUP(MIN(2024,$A124),agnos_rent,rent_base))*(1-$X$6)</f>
        <v>0</v>
      </c>
      <c r="X125" s="54">
        <f t="shared" si="278"/>
        <v>0</v>
      </c>
      <c r="Y125" s="54">
        <f t="shared" si="279"/>
        <v>0</v>
      </c>
      <c r="Z125" s="55">
        <f t="shared" ref="Z125:Z135" si="294">F124*Z124*(1+_xlfn.XLOOKUP(MIN(2024,$A124),agnos_rent,rent_base))*(1-$X$6)+S125</f>
        <v>0</v>
      </c>
      <c r="AA125" s="55">
        <f t="shared" ref="AA125:AA135" si="295">G124*AA124*(1+_xlfn.XLOOKUP(MIN(2024,$A124),agnos_rent,rent_base))*(1-$X$6)+T125</f>
        <v>0</v>
      </c>
      <c r="AB125" s="53">
        <f>D125*mmater*Parámetros!$G112*$X$5+AB124*(1+i_noc)</f>
        <v>0</v>
      </c>
      <c r="AC125" s="53">
        <f>E125*12*Parámetros!$F112*$X$5+AC124*(1+i_noc)</f>
        <v>2132259.5555170369</v>
      </c>
      <c r="AD125" s="53"/>
      <c r="AE125" s="53"/>
      <c r="AF125" s="175"/>
      <c r="AG125" s="74">
        <f t="shared" si="275"/>
        <v>0</v>
      </c>
      <c r="AH125" s="52">
        <f t="shared" si="276"/>
        <v>0</v>
      </c>
      <c r="AI125" s="56">
        <f t="shared" si="283"/>
        <v>0</v>
      </c>
      <c r="AJ125" s="56">
        <f t="shared" si="284"/>
        <v>0</v>
      </c>
      <c r="AK125" s="56"/>
      <c r="AL125" s="56"/>
      <c r="AM125" s="56"/>
      <c r="AN125" s="56"/>
      <c r="AO125" s="56">
        <f t="shared" si="285"/>
        <v>0</v>
      </c>
      <c r="AP125" s="56">
        <f t="shared" si="286"/>
        <v>0</v>
      </c>
      <c r="AQ125" s="53">
        <f t="shared" si="287"/>
        <v>0</v>
      </c>
      <c r="AR125" s="53">
        <f t="shared" si="288"/>
        <v>0</v>
      </c>
      <c r="AS125" s="39"/>
      <c r="AT125" s="68">
        <f t="shared" si="289"/>
        <v>0</v>
      </c>
      <c r="AU125" s="68">
        <f t="shared" si="290"/>
        <v>0</v>
      </c>
      <c r="AV125" s="68">
        <f t="shared" si="291"/>
        <v>0</v>
      </c>
      <c r="AW125" s="68">
        <f t="shared" si="277"/>
        <v>0</v>
      </c>
      <c r="AX125" s="39"/>
      <c r="AY125" s="39"/>
    </row>
    <row r="126" spans="1:51" x14ac:dyDescent="0.25">
      <c r="A126" s="30">
        <v>2091</v>
      </c>
      <c r="B126" s="33">
        <f>w_uf*UF*Parámetros!C113</f>
        <v>1976812.9964678269</v>
      </c>
      <c r="C126" s="30" t="str">
        <f t="shared" si="272"/>
        <v/>
      </c>
      <c r="D126" s="30">
        <f>((A126=Inputs!$C$12)*(Inputs!$D$12) + (A126=Inputs!$C$13)*(Inputs!$D$13) + (A126=Inputs!$C$14)*(Inputs!$D$14)) *(A126 &gt;= a_afil)*(A126&gt;=2024)</f>
        <v>0</v>
      </c>
      <c r="E126" s="30">
        <f>MIN(1,(A126=Inputs!$C$19)*Inputs!$D$19+(A126=Inputs!$C$20)*Inputs!$D$20+(A126=Inputs!$C$21)*Inputs!$D$21*(A126 &gt;= a_afil))</f>
        <v>0</v>
      </c>
      <c r="F126" s="30">
        <f t="shared" si="273"/>
        <v>0</v>
      </c>
      <c r="G126" s="30">
        <f t="shared" si="274"/>
        <v>0</v>
      </c>
      <c r="H126" s="30">
        <v>0.74234205484390259</v>
      </c>
      <c r="I126" s="37">
        <f t="shared" si="280"/>
        <v>0</v>
      </c>
      <c r="J126" s="37">
        <f t="shared" si="256"/>
        <v>0</v>
      </c>
      <c r="K126" s="30">
        <f>1*OR(Inputs!$D$17=$A126,Inputs!$E$17=$A126)*($E126=0)*(F126=1)</f>
        <v>0</v>
      </c>
      <c r="L126" s="30">
        <f>1*OR(Inputs!$D$17=$A126,Inputs!$E$17=$A126)*($E126=0)*(G126=1)</f>
        <v>0</v>
      </c>
      <c r="M126" s="73">
        <f t="shared" si="245"/>
        <v>0</v>
      </c>
      <c r="N126" s="73">
        <f t="shared" si="246"/>
        <v>0</v>
      </c>
      <c r="O126" s="55">
        <f>Parámetros!$E113*12*I126*$P$14</f>
        <v>0</v>
      </c>
      <c r="P126" s="55">
        <f>Parámetros!$E113*12*J126*$P$14</f>
        <v>0</v>
      </c>
      <c r="Q126" s="70">
        <f t="shared" si="281"/>
        <v>0</v>
      </c>
      <c r="R126" s="70">
        <f t="shared" si="282"/>
        <v>0</v>
      </c>
      <c r="S126" s="68">
        <f t="shared" si="270"/>
        <v>0</v>
      </c>
      <c r="T126" s="68">
        <f t="shared" si="271"/>
        <v>0</v>
      </c>
      <c r="U126" s="177"/>
      <c r="V126" s="68">
        <f t="shared" si="292"/>
        <v>0</v>
      </c>
      <c r="W126" s="68">
        <f t="shared" si="293"/>
        <v>0</v>
      </c>
      <c r="X126" s="54">
        <f t="shared" si="278"/>
        <v>0</v>
      </c>
      <c r="Y126" s="54">
        <f t="shared" si="279"/>
        <v>0</v>
      </c>
      <c r="Z126" s="55">
        <f t="shared" si="294"/>
        <v>0</v>
      </c>
      <c r="AA126" s="55">
        <f t="shared" si="295"/>
        <v>0</v>
      </c>
      <c r="AB126" s="53">
        <f>D126*mmater*Parámetros!$G113*$X$5+AB125*(1+i_noc)</f>
        <v>0</v>
      </c>
      <c r="AC126" s="53">
        <f>E126*12*Parámetros!$F113*$X$5+AC125*(1+i_noc)</f>
        <v>2174904.7466273778</v>
      </c>
      <c r="AD126" s="53"/>
      <c r="AE126" s="53"/>
      <c r="AF126" s="175"/>
      <c r="AG126" s="74">
        <f t="shared" si="275"/>
        <v>0</v>
      </c>
      <c r="AH126" s="52">
        <f t="shared" si="276"/>
        <v>0</v>
      </c>
      <c r="AI126" s="56">
        <f t="shared" si="283"/>
        <v>0</v>
      </c>
      <c r="AJ126" s="56">
        <f t="shared" si="284"/>
        <v>0</v>
      </c>
      <c r="AK126" s="56"/>
      <c r="AL126" s="56"/>
      <c r="AM126" s="56"/>
      <c r="AN126" s="56"/>
      <c r="AO126" s="56">
        <f t="shared" si="285"/>
        <v>0</v>
      </c>
      <c r="AP126" s="56">
        <f t="shared" si="286"/>
        <v>0</v>
      </c>
      <c r="AQ126" s="53">
        <f t="shared" si="287"/>
        <v>0</v>
      </c>
      <c r="AR126" s="53">
        <f t="shared" si="288"/>
        <v>0</v>
      </c>
      <c r="AS126" s="39"/>
      <c r="AT126" s="68">
        <f t="shared" si="289"/>
        <v>0</v>
      </c>
      <c r="AU126" s="68">
        <f t="shared" si="290"/>
        <v>0</v>
      </c>
      <c r="AV126" s="68">
        <f t="shared" si="291"/>
        <v>0</v>
      </c>
      <c r="AW126" s="68">
        <f t="shared" si="277"/>
        <v>0</v>
      </c>
      <c r="AX126" s="39"/>
      <c r="AY126" s="39"/>
    </row>
    <row r="127" spans="1:51" x14ac:dyDescent="0.25">
      <c r="A127" s="30">
        <v>2092</v>
      </c>
      <c r="B127" s="33">
        <f>w_uf*UF*Parámetros!C114</f>
        <v>2001523.1589236746</v>
      </c>
      <c r="C127" s="30" t="str">
        <f t="shared" si="272"/>
        <v/>
      </c>
      <c r="D127" s="30">
        <f>((A127=Inputs!$C$12)*(Inputs!$D$12) + (A127=Inputs!$C$13)*(Inputs!$D$13) + (A127=Inputs!$C$14)*(Inputs!$D$14)) *(A127 &gt;= a_afil)*(A127&gt;=2024)</f>
        <v>0</v>
      </c>
      <c r="E127" s="30">
        <f>MIN(1,(A127=Inputs!$C$19)*Inputs!$D$19+(A127=Inputs!$C$20)*Inputs!$D$20+(A127=Inputs!$C$21)*Inputs!$D$21*(A127 &gt;= a_afil))</f>
        <v>0</v>
      </c>
      <c r="F127" s="30">
        <f t="shared" si="273"/>
        <v>0</v>
      </c>
      <c r="G127" s="30">
        <f t="shared" si="274"/>
        <v>0</v>
      </c>
      <c r="H127" s="30">
        <v>0.84088706970214844</v>
      </c>
      <c r="I127" s="37">
        <f t="shared" si="280"/>
        <v>0</v>
      </c>
      <c r="J127" s="37">
        <f t="shared" si="256"/>
        <v>0</v>
      </c>
      <c r="K127" s="30">
        <f>1*OR(Inputs!$D$17=$A127,Inputs!$E$17=$A127)*($E127=0)*(F127=1)</f>
        <v>0</v>
      </c>
      <c r="L127" s="30">
        <f>1*OR(Inputs!$D$17=$A127,Inputs!$E$17=$A127)*($E127=0)*(G127=1)</f>
        <v>0</v>
      </c>
      <c r="M127" s="73">
        <f t="shared" si="245"/>
        <v>0</v>
      </c>
      <c r="N127" s="73">
        <f t="shared" si="246"/>
        <v>0</v>
      </c>
      <c r="O127" s="55">
        <f>Parámetros!$E114*12*I127*$P$14</f>
        <v>0</v>
      </c>
      <c r="P127" s="55">
        <f>Parámetros!$E114*12*J127*$P$14</f>
        <v>0</v>
      </c>
      <c r="Q127" s="70">
        <f t="shared" si="281"/>
        <v>0</v>
      </c>
      <c r="R127" s="70">
        <f t="shared" si="282"/>
        <v>0</v>
      </c>
      <c r="S127" s="68">
        <f t="shared" si="270"/>
        <v>0</v>
      </c>
      <c r="T127" s="68">
        <f t="shared" si="271"/>
        <v>0</v>
      </c>
      <c r="U127" s="177"/>
      <c r="V127" s="68">
        <f t="shared" si="292"/>
        <v>0</v>
      </c>
      <c r="W127" s="68">
        <f t="shared" si="293"/>
        <v>0</v>
      </c>
      <c r="X127" s="54">
        <f t="shared" si="278"/>
        <v>0</v>
      </c>
      <c r="Y127" s="54">
        <f t="shared" si="279"/>
        <v>0</v>
      </c>
      <c r="Z127" s="55">
        <f t="shared" si="294"/>
        <v>0</v>
      </c>
      <c r="AA127" s="55">
        <f t="shared" si="295"/>
        <v>0</v>
      </c>
      <c r="AB127" s="53">
        <f>D127*mmater*Parámetros!$G114*$X$5+AB126*(1+i_noc)</f>
        <v>0</v>
      </c>
      <c r="AC127" s="53">
        <f>E127*12*Parámetros!$F114*$X$5+AC126*(1+i_noc)</f>
        <v>2218402.8415599256</v>
      </c>
      <c r="AD127" s="53"/>
      <c r="AE127" s="53"/>
      <c r="AF127" s="175"/>
      <c r="AG127" s="74">
        <f t="shared" si="275"/>
        <v>0</v>
      </c>
      <c r="AH127" s="52">
        <f t="shared" si="276"/>
        <v>0</v>
      </c>
      <c r="AI127" s="56">
        <f t="shared" si="283"/>
        <v>0</v>
      </c>
      <c r="AJ127" s="56">
        <f t="shared" si="284"/>
        <v>0</v>
      </c>
      <c r="AK127" s="56"/>
      <c r="AL127" s="56"/>
      <c r="AM127" s="56"/>
      <c r="AN127" s="56"/>
      <c r="AO127" s="56">
        <f t="shared" si="285"/>
        <v>0</v>
      </c>
      <c r="AP127" s="56">
        <f t="shared" si="286"/>
        <v>0</v>
      </c>
      <c r="AQ127" s="53">
        <f t="shared" si="287"/>
        <v>0</v>
      </c>
      <c r="AR127" s="53">
        <f t="shared" si="288"/>
        <v>0</v>
      </c>
      <c r="AS127" s="39"/>
      <c r="AT127" s="68">
        <f t="shared" si="289"/>
        <v>0</v>
      </c>
      <c r="AU127" s="68">
        <f t="shared" si="290"/>
        <v>0</v>
      </c>
      <c r="AV127" s="68">
        <f t="shared" si="291"/>
        <v>0</v>
      </c>
      <c r="AW127" s="68">
        <f t="shared" si="277"/>
        <v>0</v>
      </c>
      <c r="AX127" s="39"/>
      <c r="AY127" s="39"/>
    </row>
    <row r="128" spans="1:51" x14ac:dyDescent="0.25">
      <c r="A128" s="30">
        <v>2093</v>
      </c>
      <c r="B128" s="33">
        <f>w_uf*UF*Parámetros!C115</f>
        <v>2026542.1984102204</v>
      </c>
      <c r="C128" s="30" t="str">
        <f t="shared" si="272"/>
        <v/>
      </c>
      <c r="D128" s="30">
        <f>((A128=Inputs!$C$12)*(Inputs!$D$12) + (A128=Inputs!$C$13)*(Inputs!$D$13) + (A128=Inputs!$C$14)*(Inputs!$D$14)) *(A128 &gt;= a_afil)*(A128&gt;=2024)</f>
        <v>0</v>
      </c>
      <c r="E128" s="30">
        <f>MIN(1,(A128=Inputs!$C$19)*Inputs!$D$19+(A128=Inputs!$C$20)*Inputs!$D$20+(A128=Inputs!$C$21)*Inputs!$D$21*(A128 &gt;= a_afil))</f>
        <v>0</v>
      </c>
      <c r="F128" s="30">
        <f t="shared" si="273"/>
        <v>0</v>
      </c>
      <c r="G128" s="30">
        <f t="shared" si="274"/>
        <v>0</v>
      </c>
      <c r="H128" s="30">
        <v>0.27858942747116089</v>
      </c>
      <c r="I128" s="37">
        <f t="shared" si="280"/>
        <v>0</v>
      </c>
      <c r="J128" s="37">
        <f t="shared" si="256"/>
        <v>0</v>
      </c>
      <c r="K128" s="30">
        <f>1*OR(Inputs!$D$17=$A128,Inputs!$E$17=$A128)*($E128=0)*(F128=1)</f>
        <v>0</v>
      </c>
      <c r="L128" s="30">
        <f>1*OR(Inputs!$D$17=$A128,Inputs!$E$17=$A128)*($E128=0)*(G128=1)</f>
        <v>0</v>
      </c>
      <c r="M128" s="73">
        <f t="shared" si="245"/>
        <v>0</v>
      </c>
      <c r="N128" s="73">
        <f t="shared" si="246"/>
        <v>0</v>
      </c>
      <c r="O128" s="55">
        <f>Parámetros!$E115*12*I128*$P$14</f>
        <v>0</v>
      </c>
      <c r="P128" s="55">
        <f>Parámetros!$E115*12*J128*$P$14</f>
        <v>0</v>
      </c>
      <c r="Q128" s="70">
        <f t="shared" si="281"/>
        <v>0</v>
      </c>
      <c r="R128" s="70">
        <f t="shared" si="282"/>
        <v>0</v>
      </c>
      <c r="S128" s="68">
        <f t="shared" ref="S128:S135" si="296">MIN($B128,_xlfn.XLOOKUP($A128,agnos,tope_ref_ind)*UF) * (12*I128*$X$3 +  K128*_xlfn.XLOOKUP(n_mes_laguna,giros_sc,tr_sc_acum)*($X$3+$X$4))</f>
        <v>0</v>
      </c>
      <c r="T128" s="68">
        <f t="shared" ref="T128:T135" si="297">MIN($B128,_xlfn.XLOOKUP($A128,agnos,tope_ref_ind)*UF) * (12*J128*$X$3 +  L128*_xlfn.XLOOKUP(n_mes_laguna,giros_sc,tr_sc_acum)*($X$3+$X$4))</f>
        <v>0</v>
      </c>
      <c r="U128" s="177"/>
      <c r="V128" s="68">
        <f t="shared" si="292"/>
        <v>0</v>
      </c>
      <c r="W128" s="68">
        <f t="shared" si="293"/>
        <v>0</v>
      </c>
      <c r="X128" s="54">
        <f t="shared" si="278"/>
        <v>0</v>
      </c>
      <c r="Y128" s="54">
        <f t="shared" si="279"/>
        <v>0</v>
      </c>
      <c r="Z128" s="55">
        <f t="shared" si="294"/>
        <v>0</v>
      </c>
      <c r="AA128" s="55">
        <f t="shared" si="295"/>
        <v>0</v>
      </c>
      <c r="AB128" s="53">
        <f>D128*mmater*Parámetros!$G115*$X$5+AB127*(1+i_noc)</f>
        <v>0</v>
      </c>
      <c r="AC128" s="53">
        <f>E128*12*Parámetros!$F115*$X$5+AC127*(1+i_noc)</f>
        <v>2262770.8983911243</v>
      </c>
      <c r="AD128" s="53"/>
      <c r="AE128" s="53"/>
      <c r="AF128" s="175"/>
      <c r="AG128" s="74">
        <f t="shared" si="275"/>
        <v>0</v>
      </c>
      <c r="AH128" s="52">
        <f t="shared" si="276"/>
        <v>0</v>
      </c>
      <c r="AI128" s="56">
        <f t="shared" si="283"/>
        <v>0</v>
      </c>
      <c r="AJ128" s="56">
        <f t="shared" si="284"/>
        <v>0</v>
      </c>
      <c r="AK128" s="56"/>
      <c r="AL128" s="56"/>
      <c r="AM128" s="56"/>
      <c r="AN128" s="56"/>
      <c r="AO128" s="56">
        <f t="shared" si="285"/>
        <v>0</v>
      </c>
      <c r="AP128" s="56">
        <f t="shared" si="286"/>
        <v>0</v>
      </c>
      <c r="AQ128" s="53">
        <f t="shared" si="287"/>
        <v>0</v>
      </c>
      <c r="AR128" s="53">
        <f t="shared" si="288"/>
        <v>0</v>
      </c>
      <c r="AS128" s="39"/>
      <c r="AT128" s="68">
        <f t="shared" si="289"/>
        <v>0</v>
      </c>
      <c r="AU128" s="68">
        <f t="shared" si="290"/>
        <v>0</v>
      </c>
      <c r="AV128" s="68">
        <f t="shared" si="291"/>
        <v>0</v>
      </c>
      <c r="AW128" s="68">
        <f t="shared" si="277"/>
        <v>0</v>
      </c>
      <c r="AX128" s="39"/>
      <c r="AY128" s="39"/>
    </row>
    <row r="129" spans="1:53" x14ac:dyDescent="0.25">
      <c r="A129" s="30">
        <v>2094</v>
      </c>
      <c r="B129" s="33">
        <f>w_uf*UF*Parámetros!C116</f>
        <v>2051873.9758903482</v>
      </c>
      <c r="C129" s="30" t="str">
        <f t="shared" si="272"/>
        <v/>
      </c>
      <c r="D129" s="30">
        <f>((A129=Inputs!$C$12)*(Inputs!$D$12) + (A129=Inputs!$C$13)*(Inputs!$D$13) + (A129=Inputs!$C$14)*(Inputs!$D$14)) *(A129 &gt;= a_afil)*(A129&gt;=2024)</f>
        <v>0</v>
      </c>
      <c r="E129" s="30">
        <f>MIN(1,(A129=Inputs!$C$19)*Inputs!$D$19+(A129=Inputs!$C$20)*Inputs!$D$20+(A129=Inputs!$C$21)*Inputs!$D$21*(A129 &gt;= a_afil))</f>
        <v>0</v>
      </c>
      <c r="F129" s="30">
        <f t="shared" si="273"/>
        <v>0</v>
      </c>
      <c r="G129" s="30">
        <f t="shared" si="274"/>
        <v>0</v>
      </c>
      <c r="H129" s="30">
        <v>0.70297014713287354</v>
      </c>
      <c r="I129" s="37">
        <f t="shared" si="280"/>
        <v>0</v>
      </c>
      <c r="J129" s="37">
        <f t="shared" si="256"/>
        <v>0</v>
      </c>
      <c r="K129" s="30">
        <f>1*OR(Inputs!$D$17=$A129,Inputs!$E$17=$A129)*($E129=0)*(F129=1)</f>
        <v>0</v>
      </c>
      <c r="L129" s="30">
        <f>1*OR(Inputs!$D$17=$A129,Inputs!$E$17=$A129)*($E129=0)*(G129=1)</f>
        <v>0</v>
      </c>
      <c r="M129" s="73">
        <f t="shared" ref="M129:M135" si="298">MIN($B129,_xlfn.XLOOKUP($A129,agnos,tope_ref_ind)*UF)*12*I129*$N$14</f>
        <v>0</v>
      </c>
      <c r="N129" s="73">
        <f t="shared" ref="N129:N135" si="299">MIN($B129,_xlfn.XLOOKUP($A129,agnos,tope_ref_ind)*UF)*12*J129*$N$14</f>
        <v>0</v>
      </c>
      <c r="O129" s="55">
        <f>Parámetros!$E116*12*I129*$P$14</f>
        <v>0</v>
      </c>
      <c r="P129" s="55">
        <f>Parámetros!$E116*12*J129*$P$14</f>
        <v>0</v>
      </c>
      <c r="Q129" s="70">
        <f t="shared" si="281"/>
        <v>0</v>
      </c>
      <c r="R129" s="70">
        <f t="shared" si="282"/>
        <v>0</v>
      </c>
      <c r="S129" s="68">
        <f t="shared" si="296"/>
        <v>0</v>
      </c>
      <c r="T129" s="68">
        <f t="shared" si="297"/>
        <v>0</v>
      </c>
      <c r="U129" s="177"/>
      <c r="V129" s="68">
        <f t="shared" si="292"/>
        <v>0</v>
      </c>
      <c r="W129" s="68">
        <f t="shared" si="293"/>
        <v>0</v>
      </c>
      <c r="X129" s="54">
        <f t="shared" si="278"/>
        <v>0</v>
      </c>
      <c r="Y129" s="54">
        <f t="shared" si="279"/>
        <v>0</v>
      </c>
      <c r="Z129" s="55">
        <f t="shared" si="294"/>
        <v>0</v>
      </c>
      <c r="AA129" s="55">
        <f t="shared" si="295"/>
        <v>0</v>
      </c>
      <c r="AB129" s="53">
        <f>D129*mmater*Parámetros!$G116*$X$5+AB128*(1+i_noc)</f>
        <v>0</v>
      </c>
      <c r="AC129" s="53">
        <f>E129*12*Parámetros!$F116*$X$5+AC128*(1+i_noc)</f>
        <v>2308026.3163589467</v>
      </c>
      <c r="AD129" s="53"/>
      <c r="AE129" s="53"/>
      <c r="AF129" s="175"/>
      <c r="AG129" s="74">
        <f t="shared" si="275"/>
        <v>0</v>
      </c>
      <c r="AH129" s="52">
        <f t="shared" si="276"/>
        <v>0</v>
      </c>
      <c r="AI129" s="56">
        <f t="shared" si="283"/>
        <v>0</v>
      </c>
      <c r="AJ129" s="56">
        <f t="shared" si="284"/>
        <v>0</v>
      </c>
      <c r="AK129" s="56"/>
      <c r="AL129" s="56"/>
      <c r="AM129" s="56"/>
      <c r="AN129" s="56"/>
      <c r="AO129" s="56">
        <f t="shared" si="285"/>
        <v>0</v>
      </c>
      <c r="AP129" s="56">
        <f t="shared" si="286"/>
        <v>0</v>
      </c>
      <c r="AQ129" s="53">
        <f t="shared" si="287"/>
        <v>0</v>
      </c>
      <c r="AR129" s="53">
        <f t="shared" si="288"/>
        <v>0</v>
      </c>
      <c r="AS129" s="39"/>
      <c r="AT129" s="68">
        <f t="shared" si="289"/>
        <v>0</v>
      </c>
      <c r="AU129" s="68">
        <f t="shared" si="290"/>
        <v>0</v>
      </c>
      <c r="AV129" s="68">
        <f t="shared" si="291"/>
        <v>0</v>
      </c>
      <c r="AW129" s="68">
        <f t="shared" si="277"/>
        <v>0</v>
      </c>
      <c r="AX129" s="39"/>
      <c r="AY129" s="39"/>
    </row>
    <row r="130" spans="1:53" x14ac:dyDescent="0.25">
      <c r="A130" s="30">
        <v>2095</v>
      </c>
      <c r="B130" s="33">
        <f>w_uf*UF*Parámetros!C117</f>
        <v>2077522.4005889776</v>
      </c>
      <c r="C130" s="30" t="str">
        <f t="shared" si="272"/>
        <v/>
      </c>
      <c r="D130" s="30">
        <f>((A130=Inputs!$C$12)*(Inputs!$D$12) + (A130=Inputs!$C$13)*(Inputs!$D$13) + (A130=Inputs!$C$14)*(Inputs!$D$14)) *(A130 &gt;= a_afil)*(A130&gt;=2024)</f>
        <v>0</v>
      </c>
      <c r="E130" s="30">
        <f>MIN(1,(A130=Inputs!$C$19)*Inputs!$D$19+(A130=Inputs!$C$20)*Inputs!$D$20+(A130=Inputs!$C$21)*Inputs!$D$21*(A130 &gt;= a_afil))</f>
        <v>0</v>
      </c>
      <c r="F130" s="30">
        <f t="shared" si="273"/>
        <v>0</v>
      </c>
      <c r="G130" s="30">
        <f t="shared" si="274"/>
        <v>0</v>
      </c>
      <c r="H130" s="30">
        <v>0.4048646092414856</v>
      </c>
      <c r="I130" s="37">
        <f t="shared" si="280"/>
        <v>0</v>
      </c>
      <c r="J130" s="37">
        <f t="shared" si="256"/>
        <v>0</v>
      </c>
      <c r="K130" s="30">
        <f>1*OR(Inputs!$D$17=$A130,Inputs!$E$17=$A130)*($E130=0)*(F130=1)</f>
        <v>0</v>
      </c>
      <c r="L130" s="30">
        <f>1*OR(Inputs!$D$17=$A130,Inputs!$E$17=$A130)*($E130=0)*(G130=1)</f>
        <v>0</v>
      </c>
      <c r="M130" s="73">
        <f t="shared" si="298"/>
        <v>0</v>
      </c>
      <c r="N130" s="73">
        <f t="shared" si="299"/>
        <v>0</v>
      </c>
      <c r="O130" s="55">
        <f>Parámetros!$E117*12*I130*$P$14</f>
        <v>0</v>
      </c>
      <c r="P130" s="55">
        <f>Parámetros!$E117*12*J130*$P$14</f>
        <v>0</v>
      </c>
      <c r="Q130" s="70">
        <f t="shared" si="281"/>
        <v>0</v>
      </c>
      <c r="R130" s="70">
        <f t="shared" si="282"/>
        <v>0</v>
      </c>
      <c r="S130" s="68">
        <f t="shared" si="296"/>
        <v>0</v>
      </c>
      <c r="T130" s="68">
        <f t="shared" si="297"/>
        <v>0</v>
      </c>
      <c r="U130" s="177"/>
      <c r="V130" s="68">
        <f t="shared" si="292"/>
        <v>0</v>
      </c>
      <c r="W130" s="68">
        <f t="shared" si="293"/>
        <v>0</v>
      </c>
      <c r="X130" s="54">
        <f t="shared" si="278"/>
        <v>0</v>
      </c>
      <c r="Y130" s="54">
        <f t="shared" si="279"/>
        <v>0</v>
      </c>
      <c r="Z130" s="55">
        <f t="shared" si="294"/>
        <v>0</v>
      </c>
      <c r="AA130" s="55">
        <f t="shared" si="295"/>
        <v>0</v>
      </c>
      <c r="AB130" s="53">
        <f>D130*mmater*Parámetros!$G117*$X$5+AB129*(1+i_noc)</f>
        <v>0</v>
      </c>
      <c r="AC130" s="53">
        <f>E130*12*Parámetros!$F117*$X$5+AC129*(1+i_noc)</f>
        <v>2354186.8426861255</v>
      </c>
      <c r="AD130" s="53"/>
      <c r="AE130" s="53"/>
      <c r="AF130" s="175"/>
      <c r="AG130" s="74">
        <f t="shared" si="275"/>
        <v>0</v>
      </c>
      <c r="AH130" s="52">
        <f t="shared" si="276"/>
        <v>0</v>
      </c>
      <c r="AI130" s="56">
        <f t="shared" si="283"/>
        <v>0</v>
      </c>
      <c r="AJ130" s="56">
        <f t="shared" si="284"/>
        <v>0</v>
      </c>
      <c r="AK130" s="56"/>
      <c r="AL130" s="56"/>
      <c r="AM130" s="56"/>
      <c r="AN130" s="56"/>
      <c r="AO130" s="56">
        <f t="shared" si="285"/>
        <v>0</v>
      </c>
      <c r="AP130" s="56">
        <f t="shared" si="286"/>
        <v>0</v>
      </c>
      <c r="AQ130" s="53">
        <f t="shared" si="287"/>
        <v>0</v>
      </c>
      <c r="AR130" s="53">
        <f t="shared" si="288"/>
        <v>0</v>
      </c>
      <c r="AS130" s="39"/>
      <c r="AT130" s="68">
        <f t="shared" si="289"/>
        <v>0</v>
      </c>
      <c r="AU130" s="68">
        <f t="shared" si="290"/>
        <v>0</v>
      </c>
      <c r="AV130" s="68">
        <f t="shared" si="291"/>
        <v>0</v>
      </c>
      <c r="AW130" s="68">
        <f t="shared" si="277"/>
        <v>0</v>
      </c>
      <c r="AX130" s="39"/>
      <c r="AY130" s="39"/>
    </row>
    <row r="131" spans="1:53" x14ac:dyDescent="0.25">
      <c r="A131" s="30">
        <v>2096</v>
      </c>
      <c r="B131" s="33">
        <f>w_uf*UF*Parámetros!C118</f>
        <v>2103491.4305963395</v>
      </c>
      <c r="C131" s="30" t="str">
        <f t="shared" si="272"/>
        <v/>
      </c>
      <c r="D131" s="30">
        <f>((A131=Inputs!$C$12)*(Inputs!$D$12) + (A131=Inputs!$C$13)*(Inputs!$D$13) + (A131=Inputs!$C$14)*(Inputs!$D$14)) *(A131 &gt;= a_afil)*(A131&gt;=2024)</f>
        <v>0</v>
      </c>
      <c r="E131" s="30">
        <f>MIN(1,(A131=Inputs!$C$19)*Inputs!$D$19+(A131=Inputs!$C$20)*Inputs!$D$20+(A131=Inputs!$C$21)*Inputs!$D$21*(A131 &gt;= a_afil))</f>
        <v>0</v>
      </c>
      <c r="F131" s="30">
        <f t="shared" si="273"/>
        <v>0</v>
      </c>
      <c r="G131" s="30">
        <f t="shared" si="274"/>
        <v>0</v>
      </c>
      <c r="H131" s="30">
        <v>0.81157135963439941</v>
      </c>
      <c r="I131" s="37">
        <f t="shared" si="280"/>
        <v>0</v>
      </c>
      <c r="J131" s="37">
        <f t="shared" si="256"/>
        <v>0</v>
      </c>
      <c r="K131" s="30">
        <f>1*OR(Inputs!$D$17=$A131,Inputs!$E$17=$A131)*($E131=0)*(F131=1)</f>
        <v>0</v>
      </c>
      <c r="L131" s="30">
        <f>1*OR(Inputs!$D$17=$A131,Inputs!$E$17=$A131)*($E131=0)*(G131=1)</f>
        <v>0</v>
      </c>
      <c r="M131" s="73">
        <f t="shared" si="298"/>
        <v>0</v>
      </c>
      <c r="N131" s="73">
        <f t="shared" si="299"/>
        <v>0</v>
      </c>
      <c r="O131" s="55">
        <f>Parámetros!$E118*12*I131*$P$14</f>
        <v>0</v>
      </c>
      <c r="P131" s="55">
        <f>Parámetros!$E118*12*J131*$P$14</f>
        <v>0</v>
      </c>
      <c r="Q131" s="70">
        <f t="shared" si="281"/>
        <v>0</v>
      </c>
      <c r="R131" s="70">
        <f t="shared" si="282"/>
        <v>0</v>
      </c>
      <c r="S131" s="68">
        <f t="shared" si="296"/>
        <v>0</v>
      </c>
      <c r="T131" s="68">
        <f t="shared" si="297"/>
        <v>0</v>
      </c>
      <c r="U131" s="177"/>
      <c r="V131" s="68">
        <f t="shared" si="292"/>
        <v>0</v>
      </c>
      <c r="W131" s="68">
        <f t="shared" si="293"/>
        <v>0</v>
      </c>
      <c r="X131" s="54">
        <f t="shared" si="278"/>
        <v>0</v>
      </c>
      <c r="Y131" s="54">
        <f t="shared" si="279"/>
        <v>0</v>
      </c>
      <c r="Z131" s="55">
        <f t="shared" si="294"/>
        <v>0</v>
      </c>
      <c r="AA131" s="55">
        <f t="shared" si="295"/>
        <v>0</v>
      </c>
      <c r="AB131" s="53">
        <f>D131*mmater*Parámetros!$G118*$X$5+AB130*(1+i_noc)</f>
        <v>0</v>
      </c>
      <c r="AC131" s="53">
        <f>E131*12*Parámetros!$F118*$X$5+AC130*(1+i_noc)</f>
        <v>2401270.579539848</v>
      </c>
      <c r="AD131" s="53"/>
      <c r="AE131" s="53"/>
      <c r="AF131" s="175"/>
      <c r="AG131" s="74">
        <f t="shared" si="275"/>
        <v>0</v>
      </c>
      <c r="AH131" s="52">
        <f t="shared" si="276"/>
        <v>0</v>
      </c>
      <c r="AI131" s="56">
        <f t="shared" si="283"/>
        <v>0</v>
      </c>
      <c r="AJ131" s="56">
        <f t="shared" si="284"/>
        <v>0</v>
      </c>
      <c r="AK131" s="56"/>
      <c r="AL131" s="56"/>
      <c r="AM131" s="56"/>
      <c r="AN131" s="56"/>
      <c r="AO131" s="56">
        <f t="shared" si="285"/>
        <v>0</v>
      </c>
      <c r="AP131" s="56">
        <f t="shared" si="286"/>
        <v>0</v>
      </c>
      <c r="AQ131" s="53">
        <f t="shared" si="287"/>
        <v>0</v>
      </c>
      <c r="AR131" s="53">
        <f t="shared" si="288"/>
        <v>0</v>
      </c>
      <c r="AS131" s="39"/>
      <c r="AT131" s="68">
        <f t="shared" si="289"/>
        <v>0</v>
      </c>
      <c r="AU131" s="68">
        <f t="shared" si="290"/>
        <v>0</v>
      </c>
      <c r="AV131" s="68">
        <f t="shared" si="291"/>
        <v>0</v>
      </c>
      <c r="AW131" s="68">
        <f t="shared" si="277"/>
        <v>0</v>
      </c>
      <c r="AX131" s="39"/>
      <c r="AY131" s="39"/>
    </row>
    <row r="132" spans="1:53" x14ac:dyDescent="0.25">
      <c r="A132" s="30">
        <v>2097</v>
      </c>
      <c r="B132" s="33">
        <f>w_uf*UF*Parámetros!C119</f>
        <v>2129785.0734787937</v>
      </c>
      <c r="C132" s="30" t="str">
        <f t="shared" si="272"/>
        <v/>
      </c>
      <c r="D132" s="30">
        <f>((A132=Inputs!$C$12)*(Inputs!$D$12) + (A132=Inputs!$C$13)*(Inputs!$D$13) + (A132=Inputs!$C$14)*(Inputs!$D$14)) *(A132 &gt;= a_afil)*(A132&gt;=2024)</f>
        <v>0</v>
      </c>
      <c r="E132" s="30">
        <f>MIN(1,(A132=Inputs!$C$19)*Inputs!$D$19+(A132=Inputs!$C$20)*Inputs!$D$20+(A132=Inputs!$C$21)*Inputs!$D$21*(A132 &gt;= a_afil))</f>
        <v>0</v>
      </c>
      <c r="F132" s="30">
        <f t="shared" si="273"/>
        <v>0</v>
      </c>
      <c r="G132" s="30">
        <f t="shared" si="274"/>
        <v>0</v>
      </c>
      <c r="H132" s="30">
        <v>0.74178069829940796</v>
      </c>
      <c r="I132" s="37">
        <f t="shared" si="280"/>
        <v>0</v>
      </c>
      <c r="J132" s="37">
        <f t="shared" si="256"/>
        <v>0</v>
      </c>
      <c r="K132" s="30">
        <f>1*OR(Inputs!$D$17=$A132,Inputs!$E$17=$A132)*($E132=0)*(F132=1)</f>
        <v>0</v>
      </c>
      <c r="L132" s="30">
        <f>1*OR(Inputs!$D$17=$A132,Inputs!$E$17=$A132)*($E132=0)*(G132=1)</f>
        <v>0</v>
      </c>
      <c r="M132" s="73">
        <f t="shared" si="298"/>
        <v>0</v>
      </c>
      <c r="N132" s="73">
        <f t="shared" si="299"/>
        <v>0</v>
      </c>
      <c r="O132" s="55">
        <f>Parámetros!$E119*12*I132*$P$14</f>
        <v>0</v>
      </c>
      <c r="P132" s="55">
        <f>Parámetros!$E119*12*J132*$P$14</f>
        <v>0</v>
      </c>
      <c r="Q132" s="70">
        <f t="shared" si="281"/>
        <v>0</v>
      </c>
      <c r="R132" s="70">
        <f t="shared" si="282"/>
        <v>0</v>
      </c>
      <c r="S132" s="68">
        <f t="shared" si="296"/>
        <v>0</v>
      </c>
      <c r="T132" s="68">
        <f t="shared" si="297"/>
        <v>0</v>
      </c>
      <c r="U132" s="177"/>
      <c r="V132" s="68">
        <f t="shared" si="292"/>
        <v>0</v>
      </c>
      <c r="W132" s="68">
        <f t="shared" si="293"/>
        <v>0</v>
      </c>
      <c r="X132" s="54">
        <f t="shared" si="278"/>
        <v>0</v>
      </c>
      <c r="Y132" s="54">
        <f t="shared" si="279"/>
        <v>0</v>
      </c>
      <c r="Z132" s="55">
        <f t="shared" si="294"/>
        <v>0</v>
      </c>
      <c r="AA132" s="55">
        <f t="shared" si="295"/>
        <v>0</v>
      </c>
      <c r="AB132" s="53">
        <f>D132*mmater*Parámetros!$G119*$X$5+AB131*(1+i_noc)</f>
        <v>0</v>
      </c>
      <c r="AC132" s="53">
        <f>E132*12*Parámetros!$F119*$X$5+AC131*(1+i_noc)</f>
        <v>2449295.9911306449</v>
      </c>
      <c r="AD132" s="53"/>
      <c r="AE132" s="53"/>
      <c r="AF132" s="175"/>
      <c r="AG132" s="74">
        <f t="shared" si="275"/>
        <v>0</v>
      </c>
      <c r="AH132" s="52">
        <f t="shared" si="276"/>
        <v>0</v>
      </c>
      <c r="AI132" s="56">
        <f t="shared" si="283"/>
        <v>0</v>
      </c>
      <c r="AJ132" s="56">
        <f t="shared" si="284"/>
        <v>0</v>
      </c>
      <c r="AK132" s="56"/>
      <c r="AL132" s="56"/>
      <c r="AM132" s="56"/>
      <c r="AN132" s="56"/>
      <c r="AO132" s="56">
        <f t="shared" si="285"/>
        <v>0</v>
      </c>
      <c r="AP132" s="56">
        <f t="shared" si="286"/>
        <v>0</v>
      </c>
      <c r="AQ132" s="53">
        <f t="shared" si="287"/>
        <v>0</v>
      </c>
      <c r="AR132" s="53">
        <f t="shared" si="288"/>
        <v>0</v>
      </c>
      <c r="AS132" s="39"/>
      <c r="AT132" s="68">
        <f t="shared" si="289"/>
        <v>0</v>
      </c>
      <c r="AU132" s="68">
        <f t="shared" si="290"/>
        <v>0</v>
      </c>
      <c r="AV132" s="68">
        <f t="shared" si="291"/>
        <v>0</v>
      </c>
      <c r="AW132" s="68">
        <f t="shared" si="277"/>
        <v>0</v>
      </c>
      <c r="AX132" s="39"/>
      <c r="AY132" s="39"/>
    </row>
    <row r="133" spans="1:53" x14ac:dyDescent="0.25">
      <c r="A133" s="30">
        <v>2098</v>
      </c>
      <c r="B133" s="33">
        <f>w_uf*UF*Parámetros!C120</f>
        <v>2156407.3868972789</v>
      </c>
      <c r="C133" s="30" t="str">
        <f t="shared" si="272"/>
        <v/>
      </c>
      <c r="D133" s="30">
        <f>((A133=Inputs!$C$12)*(Inputs!$D$12) + (A133=Inputs!$C$13)*(Inputs!$D$13) + (A133=Inputs!$C$14)*(Inputs!$D$14)) *(A133 &gt;= a_afil)*(A133&gt;=2024)</f>
        <v>0</v>
      </c>
      <c r="E133" s="30">
        <f>MIN(1,(A133=Inputs!$C$19)*Inputs!$D$19+(A133=Inputs!$C$20)*Inputs!$D$20+(A133=Inputs!$C$21)*Inputs!$D$21*(A133 &gt;= a_afil))</f>
        <v>0</v>
      </c>
      <c r="F133" s="30">
        <f t="shared" si="273"/>
        <v>0</v>
      </c>
      <c r="G133" s="30">
        <f t="shared" si="274"/>
        <v>0</v>
      </c>
      <c r="H133" s="30">
        <v>0.43766391277313232</v>
      </c>
      <c r="I133" s="37">
        <f t="shared" si="280"/>
        <v>0</v>
      </c>
      <c r="J133" s="37">
        <f t="shared" si="256"/>
        <v>0</v>
      </c>
      <c r="K133" s="30">
        <f>1*OR(Inputs!$D$17=$A133,Inputs!$E$17=$A133)*($E133=0)*(F133=1)</f>
        <v>0</v>
      </c>
      <c r="L133" s="30">
        <f>1*OR(Inputs!$D$17=$A133,Inputs!$E$17=$A133)*($E133=0)*(G133=1)</f>
        <v>0</v>
      </c>
      <c r="M133" s="73">
        <f t="shared" si="298"/>
        <v>0</v>
      </c>
      <c r="N133" s="73">
        <f t="shared" si="299"/>
        <v>0</v>
      </c>
      <c r="O133" s="55">
        <f>Parámetros!$E120*12*I133*$P$14</f>
        <v>0</v>
      </c>
      <c r="P133" s="55">
        <f>Parámetros!$E120*12*J133*$P$14</f>
        <v>0</v>
      </c>
      <c r="Q133" s="70">
        <f t="shared" si="281"/>
        <v>0</v>
      </c>
      <c r="R133" s="70">
        <f t="shared" si="282"/>
        <v>0</v>
      </c>
      <c r="S133" s="68">
        <f t="shared" si="296"/>
        <v>0</v>
      </c>
      <c r="T133" s="68">
        <f t="shared" si="297"/>
        <v>0</v>
      </c>
      <c r="U133" s="177"/>
      <c r="V133" s="68">
        <f t="shared" si="292"/>
        <v>0</v>
      </c>
      <c r="W133" s="68">
        <f t="shared" si="293"/>
        <v>0</v>
      </c>
      <c r="X133" s="54">
        <f t="shared" si="278"/>
        <v>0</v>
      </c>
      <c r="Y133" s="54">
        <f t="shared" si="279"/>
        <v>0</v>
      </c>
      <c r="Z133" s="55">
        <f t="shared" si="294"/>
        <v>0</v>
      </c>
      <c r="AA133" s="55">
        <f t="shared" si="295"/>
        <v>0</v>
      </c>
      <c r="AB133" s="53">
        <f>D133*mmater*Parámetros!$G120*$X$5+AB132*(1+i_noc)</f>
        <v>0</v>
      </c>
      <c r="AC133" s="53">
        <f>E133*12*Parámetros!$F120*$X$5+AC132*(1+i_noc)</f>
        <v>2498281.9109532577</v>
      </c>
      <c r="AD133" s="53"/>
      <c r="AE133" s="53"/>
      <c r="AF133" s="175"/>
      <c r="AG133" s="74">
        <f t="shared" si="275"/>
        <v>0</v>
      </c>
      <c r="AH133" s="52">
        <f t="shared" si="276"/>
        <v>0</v>
      </c>
      <c r="AI133" s="56">
        <f t="shared" si="283"/>
        <v>0</v>
      </c>
      <c r="AJ133" s="56">
        <f t="shared" si="284"/>
        <v>0</v>
      </c>
      <c r="AK133" s="56"/>
      <c r="AL133" s="56"/>
      <c r="AM133" s="56"/>
      <c r="AN133" s="56"/>
      <c r="AO133" s="56">
        <f t="shared" si="285"/>
        <v>0</v>
      </c>
      <c r="AP133" s="56">
        <f t="shared" si="286"/>
        <v>0</v>
      </c>
      <c r="AQ133" s="53">
        <f t="shared" si="287"/>
        <v>0</v>
      </c>
      <c r="AR133" s="53">
        <f t="shared" si="288"/>
        <v>0</v>
      </c>
      <c r="AS133" s="39"/>
      <c r="AT133" s="68">
        <f t="shared" si="289"/>
        <v>0</v>
      </c>
      <c r="AU133" s="68">
        <f t="shared" si="290"/>
        <v>0</v>
      </c>
      <c r="AV133" s="68">
        <f t="shared" si="291"/>
        <v>0</v>
      </c>
      <c r="AW133" s="68">
        <f t="shared" si="277"/>
        <v>0</v>
      </c>
      <c r="AX133" s="39"/>
      <c r="AY133" s="39"/>
    </row>
    <row r="134" spans="1:53" x14ac:dyDescent="0.25">
      <c r="A134" s="30">
        <v>2099</v>
      </c>
      <c r="B134" s="33">
        <f>w_uf*UF*Parámetros!C121</f>
        <v>2183362.4792334945</v>
      </c>
      <c r="C134" s="30" t="str">
        <f t="shared" si="272"/>
        <v/>
      </c>
      <c r="D134" s="30">
        <f>((A134=Inputs!$C$12)*(Inputs!$D$12) + (A134=Inputs!$C$13)*(Inputs!$D$13) + (A134=Inputs!$C$14)*(Inputs!$D$14)) *(A134 &gt;= a_afil)*(A134&gt;=2024)</f>
        <v>0</v>
      </c>
      <c r="E134" s="30">
        <f>MIN(1,(A134=Inputs!$C$19)*Inputs!$D$19+(A134=Inputs!$C$20)*Inputs!$D$20+(A134=Inputs!$C$21)*Inputs!$D$21*(A134 &gt;= a_afil))</f>
        <v>0</v>
      </c>
      <c r="F134" s="30">
        <f t="shared" si="273"/>
        <v>0</v>
      </c>
      <c r="G134" s="30">
        <f t="shared" si="274"/>
        <v>0</v>
      </c>
      <c r="H134" s="30">
        <v>7.7980577945709229E-2</v>
      </c>
      <c r="I134" s="37">
        <f t="shared" si="280"/>
        <v>0</v>
      </c>
      <c r="J134" s="37">
        <f t="shared" si="256"/>
        <v>0</v>
      </c>
      <c r="K134" s="30">
        <f>1*OR(Inputs!$D$17=$A134,Inputs!$E$17=$A134)*($E134=0)*(F134=1)</f>
        <v>0</v>
      </c>
      <c r="L134" s="30">
        <f>1*OR(Inputs!$D$17=$A134,Inputs!$E$17=$A134)*($E134=0)*(G134=1)</f>
        <v>0</v>
      </c>
      <c r="M134" s="73">
        <f t="shared" si="298"/>
        <v>0</v>
      </c>
      <c r="N134" s="73">
        <f t="shared" si="299"/>
        <v>0</v>
      </c>
      <c r="O134" s="55">
        <f>Parámetros!$E121*12*I134*$P$14</f>
        <v>0</v>
      </c>
      <c r="P134" s="55">
        <f>Parámetros!$E121*12*J134*$P$14</f>
        <v>0</v>
      </c>
      <c r="Q134" s="70">
        <f t="shared" si="281"/>
        <v>0</v>
      </c>
      <c r="R134" s="70">
        <f t="shared" si="282"/>
        <v>0</v>
      </c>
      <c r="S134" s="68">
        <f t="shared" si="296"/>
        <v>0</v>
      </c>
      <c r="T134" s="68">
        <f t="shared" si="297"/>
        <v>0</v>
      </c>
      <c r="U134" s="177"/>
      <c r="V134" s="68">
        <f t="shared" si="292"/>
        <v>0</v>
      </c>
      <c r="W134" s="68">
        <f t="shared" si="293"/>
        <v>0</v>
      </c>
      <c r="X134" s="54">
        <f t="shared" si="278"/>
        <v>0</v>
      </c>
      <c r="Y134" s="54">
        <f t="shared" si="279"/>
        <v>0</v>
      </c>
      <c r="Z134" s="55">
        <f t="shared" si="294"/>
        <v>0</v>
      </c>
      <c r="AA134" s="55">
        <f t="shared" si="295"/>
        <v>0</v>
      </c>
      <c r="AB134" s="53">
        <f>D134*mmater*Parámetros!$G121*$X$5+AB133*(1+i_noc)</f>
        <v>0</v>
      </c>
      <c r="AC134" s="53">
        <f>E134*12*Parámetros!$F121*$X$5+AC133*(1+i_noc)</f>
        <v>2548247.5491723227</v>
      </c>
      <c r="AD134" s="53"/>
      <c r="AE134" s="53"/>
      <c r="AF134" s="175"/>
      <c r="AG134" s="74">
        <f t="shared" si="275"/>
        <v>0</v>
      </c>
      <c r="AH134" s="52">
        <f t="shared" si="276"/>
        <v>0</v>
      </c>
      <c r="AI134" s="56">
        <f t="shared" si="283"/>
        <v>0</v>
      </c>
      <c r="AJ134" s="56">
        <f t="shared" si="284"/>
        <v>0</v>
      </c>
      <c r="AK134" s="56"/>
      <c r="AL134" s="56"/>
      <c r="AM134" s="56"/>
      <c r="AN134" s="56"/>
      <c r="AO134" s="56">
        <f t="shared" si="285"/>
        <v>0</v>
      </c>
      <c r="AP134" s="56">
        <f t="shared" si="286"/>
        <v>0</v>
      </c>
      <c r="AQ134" s="53">
        <f t="shared" si="287"/>
        <v>0</v>
      </c>
      <c r="AR134" s="53">
        <f t="shared" si="288"/>
        <v>0</v>
      </c>
      <c r="AS134" s="39"/>
      <c r="AT134" s="68">
        <f t="shared" si="289"/>
        <v>0</v>
      </c>
      <c r="AU134" s="68">
        <f t="shared" si="290"/>
        <v>0</v>
      </c>
      <c r="AV134" s="68">
        <f t="shared" si="291"/>
        <v>0</v>
      </c>
      <c r="AW134" s="68">
        <f t="shared" si="277"/>
        <v>0</v>
      </c>
      <c r="AX134" s="39"/>
      <c r="AY134" s="39"/>
    </row>
    <row r="135" spans="1:53" x14ac:dyDescent="0.25">
      <c r="A135" s="30">
        <v>2100</v>
      </c>
      <c r="B135" s="33">
        <f>w_uf*UF*Parámetros!C122</f>
        <v>2210654.510223913</v>
      </c>
      <c r="C135" s="30" t="str">
        <f t="shared" si="272"/>
        <v/>
      </c>
      <c r="D135" s="30">
        <f>((A135=Inputs!$C$12)*(Inputs!$D$12) + (A135=Inputs!$C$13)*(Inputs!$D$13) + (A135=Inputs!$C$14)*(Inputs!$D$14)) *(A135 &gt;= a_afil)*(A135&gt;=2024)</f>
        <v>0</v>
      </c>
      <c r="E135" s="30">
        <f>MIN(1,(A135=Inputs!$C$19)*Inputs!$D$19+(A135=Inputs!$C$20)*Inputs!$D$20+(A135=Inputs!$C$21)*Inputs!$D$21*(A135 &gt;= a_afil))</f>
        <v>0</v>
      </c>
      <c r="F135" s="30">
        <f xml:space="preserve"> (C135&lt;edad_ret_h) * (A135&gt;=a_afil)</f>
        <v>0</v>
      </c>
      <c r="G135" s="30">
        <f xml:space="preserve"> (C135&lt;edad_ret_m) * (A135&gt;=a_afil)</f>
        <v>0</v>
      </c>
      <c r="H135" s="30">
        <v>0.41063165664672852</v>
      </c>
      <c r="I135" s="37">
        <f>IF(F135=1,+dens_cot,0)</f>
        <v>0</v>
      </c>
      <c r="J135" s="37">
        <f>IF(G135=1,+dens_mujer,0)</f>
        <v>0</v>
      </c>
      <c r="K135" s="30">
        <f>1*OR(Inputs!$D$17=$A135,Inputs!$E$17=$A135)*($E135=0)*(F135=1)</f>
        <v>0</v>
      </c>
      <c r="L135" s="30">
        <f>1*OR(Inputs!$D$17=$A135,Inputs!$E$17=$A135)*($E135=0)*(G135=1)</f>
        <v>0</v>
      </c>
      <c r="M135" s="73">
        <f t="shared" si="298"/>
        <v>0</v>
      </c>
      <c r="N135" s="73">
        <f t="shared" si="299"/>
        <v>0</v>
      </c>
      <c r="O135" s="55">
        <f>Parámetros!$E122*12*I135*$P$14</f>
        <v>0</v>
      </c>
      <c r="P135" s="55">
        <f>Parámetros!$E122*12*J135*$P$14</f>
        <v>0</v>
      </c>
      <c r="Q135" s="70">
        <f t="shared" si="281"/>
        <v>0</v>
      </c>
      <c r="R135" s="70">
        <f t="shared" si="282"/>
        <v>0</v>
      </c>
      <c r="S135" s="68">
        <f t="shared" si="296"/>
        <v>0</v>
      </c>
      <c r="T135" s="68">
        <f t="shared" si="297"/>
        <v>0</v>
      </c>
      <c r="U135" s="177"/>
      <c r="V135" s="68">
        <f t="shared" si="292"/>
        <v>0</v>
      </c>
      <c r="W135" s="68">
        <f t="shared" si="293"/>
        <v>0</v>
      </c>
      <c r="X135" s="54">
        <f t="shared" si="278"/>
        <v>0</v>
      </c>
      <c r="Y135" s="54">
        <f t="shared" si="279"/>
        <v>0</v>
      </c>
      <c r="Z135" s="55">
        <f t="shared" si="294"/>
        <v>0</v>
      </c>
      <c r="AA135" s="55">
        <f t="shared" si="295"/>
        <v>0</v>
      </c>
      <c r="AB135" s="53">
        <f>D135*mmater*Parámetros!$G122*$X$5+AB134*(1+i_noc)</f>
        <v>0</v>
      </c>
      <c r="AC135" s="53">
        <f>E135*12*Parámetros!$F122*$X$5+AC134*(1+i_noc)</f>
        <v>2599212.5001557693</v>
      </c>
      <c r="AD135" s="53"/>
      <c r="AE135" s="53"/>
      <c r="AF135" s="175"/>
      <c r="AG135" s="74">
        <f t="shared" si="275"/>
        <v>0</v>
      </c>
      <c r="AH135" s="52">
        <f t="shared" si="276"/>
        <v>0</v>
      </c>
      <c r="AI135" s="56">
        <f t="shared" si="283"/>
        <v>0</v>
      </c>
      <c r="AJ135" s="56">
        <f t="shared" si="284"/>
        <v>0</v>
      </c>
      <c r="AK135" s="56"/>
      <c r="AL135" s="56"/>
      <c r="AM135" s="56"/>
      <c r="AN135" s="56"/>
      <c r="AO135" s="56">
        <f t="shared" si="285"/>
        <v>0</v>
      </c>
      <c r="AP135" s="56">
        <f t="shared" si="286"/>
        <v>0</v>
      </c>
      <c r="AQ135" s="53">
        <f t="shared" si="287"/>
        <v>0</v>
      </c>
      <c r="AR135" s="53">
        <f t="shared" si="288"/>
        <v>0</v>
      </c>
      <c r="AS135" s="39"/>
      <c r="AT135" s="68">
        <f t="shared" si="289"/>
        <v>0</v>
      </c>
      <c r="AU135" s="68">
        <f t="shared" si="290"/>
        <v>0</v>
      </c>
      <c r="AV135" s="68">
        <f t="shared" si="291"/>
        <v>0</v>
      </c>
      <c r="AW135" s="68">
        <f t="shared" si="277"/>
        <v>0</v>
      </c>
      <c r="AX135" s="39"/>
      <c r="AY135" s="39"/>
    </row>
    <row r="136" spans="1:53" x14ac:dyDescent="0.25">
      <c r="AG136" s="33"/>
      <c r="AH136" s="33"/>
      <c r="AI136" s="33"/>
      <c r="AJ136" s="33"/>
      <c r="AK136" s="96"/>
      <c r="AL136" s="30"/>
      <c r="AM136" s="30"/>
      <c r="AN136" s="30"/>
      <c r="AO136" s="30"/>
      <c r="AP136" s="30"/>
    </row>
    <row r="137" spans="1:53" x14ac:dyDescent="0.25">
      <c r="AI137" s="33"/>
      <c r="AJ137" s="33"/>
      <c r="AO137" s="30"/>
      <c r="AP137" s="30"/>
    </row>
    <row r="138" spans="1:53" x14ac:dyDescent="0.25">
      <c r="AQ138" s="65"/>
    </row>
    <row r="139" spans="1:53" x14ac:dyDescent="0.25">
      <c r="AQ139" s="65"/>
    </row>
    <row r="140" spans="1:53" x14ac:dyDescent="0.25">
      <c r="AQ140" s="38"/>
    </row>
    <row r="141" spans="1:53" x14ac:dyDescent="0.25"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</row>
    <row r="142" spans="1:53" x14ac:dyDescent="0.25"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  <c r="BA142" s="184"/>
    </row>
    <row r="143" spans="1:53" x14ac:dyDescent="0.25"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  <c r="BA143" s="184"/>
    </row>
    <row r="144" spans="1:53" x14ac:dyDescent="0.25">
      <c r="AK144" s="184"/>
      <c r="AL144" s="184"/>
      <c r="AM144" s="184"/>
      <c r="AN144" s="184"/>
      <c r="AO144" s="184"/>
      <c r="AP144" s="184"/>
      <c r="AQ144" s="184"/>
      <c r="AR144" s="184"/>
      <c r="AS144" s="184"/>
      <c r="AT144" s="184"/>
      <c r="AU144" s="184"/>
      <c r="AV144" s="184"/>
      <c r="AW144" s="184"/>
      <c r="AX144" s="184"/>
      <c r="AY144" s="184"/>
      <c r="AZ144" s="184"/>
      <c r="BA144" s="184"/>
    </row>
    <row r="145" spans="37:53" x14ac:dyDescent="0.25"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  <c r="BA145" s="184"/>
    </row>
    <row r="146" spans="37:53" x14ac:dyDescent="0.25"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  <c r="BA146" s="184"/>
    </row>
    <row r="147" spans="37:53" x14ac:dyDescent="0.25"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</row>
    <row r="148" spans="37:53" x14ac:dyDescent="0.25"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</row>
  </sheetData>
  <sheetProtection formatCells="0" formatColumns="0" formatRows="0" deleteColumns="0" deleteRows="0"/>
  <protectedRanges>
    <protectedRange sqref="H16:H135" name="Rango2_1"/>
  </protectedRanges>
  <mergeCells count="28">
    <mergeCell ref="AV13:AW14"/>
    <mergeCell ref="AM13:AN14"/>
    <mergeCell ref="AO13:AO14"/>
    <mergeCell ref="AP13:AP14"/>
    <mergeCell ref="AQ13:AR14"/>
    <mergeCell ref="AT13:AU14"/>
    <mergeCell ref="Z13:AA14"/>
    <mergeCell ref="AQ1:AQ2"/>
    <mergeCell ref="AB13:AB14"/>
    <mergeCell ref="AC13:AC14"/>
    <mergeCell ref="AD13:AE14"/>
    <mergeCell ref="AK13:AL14"/>
    <mergeCell ref="M13:N13"/>
    <mergeCell ref="A12:A15"/>
    <mergeCell ref="AG12:AH14"/>
    <mergeCell ref="AI12:AJ14"/>
    <mergeCell ref="B13:B15"/>
    <mergeCell ref="C13:C15"/>
    <mergeCell ref="D13:E14"/>
    <mergeCell ref="F13:G14"/>
    <mergeCell ref="H13:H15"/>
    <mergeCell ref="I13:J14"/>
    <mergeCell ref="K13:L14"/>
    <mergeCell ref="O13:P13"/>
    <mergeCell ref="Q13:R14"/>
    <mergeCell ref="S13:T14"/>
    <mergeCell ref="V13:W13"/>
    <mergeCell ref="X13:Y14"/>
  </mergeCells>
  <conditionalFormatting sqref="D16:E135 K16:L135">
    <cfRule type="cellIs" dxfId="6" priority="5" operator="equal">
      <formula>1</formula>
    </cfRule>
  </conditionalFormatting>
  <conditionalFormatting sqref="AK9:AN9">
    <cfRule type="expression" dxfId="5" priority="2">
      <formula>AK9&lt;&gt;SUM(AK3:AK8)</formula>
    </cfRule>
  </conditionalFormatting>
  <conditionalFormatting sqref="AO9:AP9">
    <cfRule type="expression" dxfId="4" priority="1">
      <formula>AO9&gt;tope_garantia</formula>
    </cfRule>
  </conditionalFormatting>
  <hyperlinks>
    <hyperlink ref="AA6" location="'Variables externas'!AQ1" display="(ir a tabla de factores)" xr:uid="{4E947383-73ED-4329-BF59-306981393CD1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1F85-B390-44D5-84E6-5A78C561C6D4}">
  <sheetPr codeName="Hoja26">
    <tabColor theme="8" tint="0.79998168889431442"/>
  </sheetPr>
  <dimension ref="A1:BC148"/>
  <sheetViews>
    <sheetView zoomScale="85" zoomScaleNormal="85" workbookViewId="0">
      <pane xSplit="3" ySplit="15" topLeftCell="D16" activePane="bottomRight" state="frozen"/>
      <selection pane="topRight"/>
      <selection pane="bottomLeft"/>
      <selection pane="bottomRight"/>
    </sheetView>
  </sheetViews>
  <sheetFormatPr baseColWidth="10" defaultColWidth="4.28515625" defaultRowHeight="15" x14ac:dyDescent="0.25"/>
  <cols>
    <col min="1" max="1" width="8.5703125" style="30" customWidth="1"/>
    <col min="2" max="2" width="14.28515625" style="30" customWidth="1"/>
    <col min="3" max="3" width="4.28515625" style="30" customWidth="1"/>
    <col min="4" max="5" width="7.42578125" style="30" customWidth="1"/>
    <col min="6" max="12" width="6.28515625" style="30" customWidth="1"/>
    <col min="13" max="20" width="10.7109375" style="30" customWidth="1"/>
    <col min="21" max="21" width="4.140625" style="30" customWidth="1"/>
    <col min="22" max="31" width="12.140625" style="30" customWidth="1"/>
    <col min="32" max="32" width="12" style="30" customWidth="1"/>
    <col min="33" max="36" width="10.7109375" style="30" customWidth="1"/>
    <col min="37" max="42" width="10.7109375" style="33" customWidth="1"/>
    <col min="43" max="47" width="10.7109375" style="30" customWidth="1"/>
    <col min="48" max="48" width="12.7109375" style="30" bestFit="1" customWidth="1"/>
    <col min="49" max="52" width="10.7109375" style="30" customWidth="1"/>
    <col min="53" max="53" width="23" style="30" bestFit="1" customWidth="1"/>
    <col min="54" max="55" width="10.7109375" style="30" customWidth="1"/>
    <col min="56" max="59" width="5.7109375" style="30" customWidth="1"/>
    <col min="60" max="16384" width="4.28515625" style="30"/>
  </cols>
  <sheetData>
    <row r="1" spans="1:55" ht="32.25" customHeight="1" thickBot="1" x14ac:dyDescent="0.3">
      <c r="B1" s="34"/>
      <c r="C1" s="34"/>
      <c r="D1" s="34"/>
      <c r="E1" s="34"/>
      <c r="F1" s="34"/>
      <c r="G1" s="34"/>
      <c r="H1" s="34"/>
      <c r="I1" s="34"/>
      <c r="J1" s="34"/>
      <c r="K1" s="34"/>
      <c r="L1" s="96"/>
      <c r="M1" s="96"/>
      <c r="N1" s="96"/>
      <c r="O1" s="96"/>
      <c r="R1" s="85"/>
      <c r="X1" s="40"/>
      <c r="AC1" s="289" t="s">
        <v>252</v>
      </c>
      <c r="AD1" s="290"/>
      <c r="AE1" s="290"/>
      <c r="AF1" s="291"/>
      <c r="AI1" s="32"/>
      <c r="AJ1" s="323" t="s">
        <v>284</v>
      </c>
      <c r="AK1" s="321" t="s">
        <v>286</v>
      </c>
      <c r="AL1" s="322"/>
      <c r="AM1" s="321" t="s">
        <v>115</v>
      </c>
      <c r="AN1" s="322"/>
      <c r="AO1" s="321" t="s">
        <v>287</v>
      </c>
      <c r="AP1" s="322"/>
      <c r="AQ1" s="413" t="s">
        <v>285</v>
      </c>
      <c r="AR1" s="321" t="s">
        <v>288</v>
      </c>
      <c r="AS1" s="322"/>
      <c r="BA1" s="196"/>
      <c r="BB1" s="196" t="s">
        <v>110</v>
      </c>
      <c r="BC1" s="196" t="s">
        <v>111</v>
      </c>
    </row>
    <row r="2" spans="1:55" ht="15" customHeight="1" x14ac:dyDescent="0.25">
      <c r="B2" s="34"/>
      <c r="C2" s="34"/>
      <c r="D2" s="34"/>
      <c r="E2" s="34"/>
      <c r="F2" s="34"/>
      <c r="G2" s="34"/>
      <c r="H2" s="34"/>
      <c r="I2" s="34"/>
      <c r="J2" s="34"/>
      <c r="K2" s="34"/>
      <c r="L2" s="105"/>
      <c r="M2" s="105"/>
      <c r="N2" s="105"/>
      <c r="S2" s="85"/>
      <c r="V2" s="30" t="s">
        <v>162</v>
      </c>
      <c r="X2" s="166">
        <v>0.1</v>
      </c>
      <c r="Y2" s="30" t="s">
        <v>269</v>
      </c>
      <c r="AC2" s="33"/>
      <c r="AD2" s="33"/>
      <c r="AE2" s="57" t="s">
        <v>110</v>
      </c>
      <c r="AF2" s="32" t="s">
        <v>111</v>
      </c>
      <c r="AH2" s="136"/>
      <c r="AI2" s="324" t="s">
        <v>223</v>
      </c>
      <c r="AJ2" s="325" t="s">
        <v>222</v>
      </c>
      <c r="AK2" s="237" t="s">
        <v>165</v>
      </c>
      <c r="AL2" s="238" t="s">
        <v>166</v>
      </c>
      <c r="AM2" s="237" t="s">
        <v>165</v>
      </c>
      <c r="AN2" s="238" t="s">
        <v>166</v>
      </c>
      <c r="AO2" s="237" t="s">
        <v>165</v>
      </c>
      <c r="AP2" s="238" t="s">
        <v>166</v>
      </c>
      <c r="AQ2" s="414"/>
      <c r="AR2" s="237" t="s">
        <v>165</v>
      </c>
      <c r="AS2" s="238" t="s">
        <v>166</v>
      </c>
      <c r="BA2" s="65" t="str" cm="1">
        <f t="array" ref="BA2:BA10">beneficios</f>
        <v>PAFE (10%)</v>
      </c>
      <c r="BB2" s="320">
        <f>ROUND(AG$11,0)</f>
        <v>249562</v>
      </c>
      <c r="BC2" s="320">
        <f>ROUND(AH$11,0)</f>
        <v>222429</v>
      </c>
    </row>
    <row r="3" spans="1:55" ht="15" customHeight="1" x14ac:dyDescent="0.25">
      <c r="B3" s="34"/>
      <c r="C3" s="34"/>
      <c r="D3" s="34"/>
      <c r="E3" s="34"/>
      <c r="F3" s="34"/>
      <c r="G3" s="34"/>
      <c r="H3" s="34"/>
      <c r="I3" s="34"/>
      <c r="J3" s="34"/>
      <c r="K3" s="34"/>
      <c r="L3" s="71"/>
      <c r="M3" s="84"/>
      <c r="N3" s="85"/>
      <c r="O3" s="85"/>
      <c r="P3" s="85"/>
      <c r="Q3" s="85"/>
      <c r="R3" s="85"/>
      <c r="S3" s="85"/>
      <c r="V3" s="30" t="s">
        <v>162</v>
      </c>
      <c r="X3" s="166">
        <f>X2+0.5%</f>
        <v>0.10500000000000001</v>
      </c>
      <c r="Y3" s="47" t="s">
        <v>270</v>
      </c>
      <c r="AC3" s="30" t="s">
        <v>254</v>
      </c>
      <c r="AD3" s="33"/>
      <c r="AE3" s="33" cm="1">
        <f t="array" ref="AE3:AF3">edad_pafe</f>
        <v>65</v>
      </c>
      <c r="AF3" s="33">
        <v>60</v>
      </c>
      <c r="AH3" s="233" t="s">
        <v>112</v>
      </c>
      <c r="AI3" s="65">
        <v>1981</v>
      </c>
      <c r="AJ3" s="234">
        <v>2023</v>
      </c>
      <c r="AK3" s="235">
        <f t="shared" ref="AK3:AL8" si="0">SUMIFS(F$16:F$135,$A$16:$A$135,"&gt;="&amp;$AI3,$A$16:$A$135,"&lt;="&amp;$AJ3)</f>
        <v>21</v>
      </c>
      <c r="AL3" s="236">
        <f t="shared" si="0"/>
        <v>21</v>
      </c>
      <c r="AM3" s="235">
        <f t="shared" ref="AM3:AM9" si="1">AK3*dens_cot</f>
        <v>12.18</v>
      </c>
      <c r="AN3" s="236">
        <f t="shared" ref="AN3:AN9" si="2">AL3*dens_mujer</f>
        <v>12.18</v>
      </c>
      <c r="AO3" s="235">
        <f>_xlfn.LET(_xlpm.s,SUM(AO4:AO$8),MIN(tope_garantia-_xlpm.s,AM3))</f>
        <v>12.18</v>
      </c>
      <c r="AP3" s="236">
        <f>_xlfn.LET(_xlpm.s,SUM(AP4:AP$8),MIN(tope_garantia-_xlpm.s,AN3))</f>
        <v>12.18</v>
      </c>
      <c r="AQ3" s="241">
        <f t="shared" ref="AQ3:AQ8" si="3">_xlfn.XLOOKUP(AI3,agnos,gar_agno)</f>
        <v>0.1</v>
      </c>
      <c r="AR3" s="235">
        <f t="shared" ref="AR3:AS8" si="4">AO3*$AQ3</f>
        <v>1.218</v>
      </c>
      <c r="AS3" s="236">
        <f t="shared" si="4"/>
        <v>1.218</v>
      </c>
      <c r="BA3" s="30" t="str">
        <v>PAFE (CCICO reforma)</v>
      </c>
      <c r="BB3" s="38">
        <f>ROUND(AI$11,0)</f>
        <v>286125</v>
      </c>
      <c r="BC3" s="38">
        <f>ROUND(AJ$11,0)</f>
        <v>255016</v>
      </c>
    </row>
    <row r="4" spans="1:55" x14ac:dyDescent="0.25">
      <c r="B4" s="34"/>
      <c r="C4" s="34"/>
      <c r="D4" s="34"/>
      <c r="E4" s="34"/>
      <c r="F4" s="34"/>
      <c r="G4" s="34"/>
      <c r="H4" s="34"/>
      <c r="I4" s="34"/>
      <c r="J4" s="34"/>
      <c r="K4" s="34"/>
      <c r="L4" s="71"/>
      <c r="M4" s="84"/>
      <c r="N4" s="85"/>
      <c r="O4" s="85"/>
      <c r="P4" s="85"/>
      <c r="Q4" s="85"/>
      <c r="R4" s="85"/>
      <c r="S4" s="85"/>
      <c r="V4" s="30" t="s">
        <v>219</v>
      </c>
      <c r="X4" s="41">
        <v>0.04</v>
      </c>
      <c r="Y4" s="47"/>
      <c r="AC4" s="47" t="s">
        <v>211</v>
      </c>
      <c r="AD4" s="45"/>
      <c r="AE4" s="255">
        <f>_xlfn.XLOOKUP(AE3,$C$16:$C$135,X$16:X$135)/(12*_xlfn.XLOOKUP(AE$2,sexo_cnu,cnu_elp))</f>
        <v>249562.18907357016</v>
      </c>
      <c r="AF4" s="255">
        <f>_xlfn.XLOOKUP(AF3,$C$16:$C$135,Y$16:Y$135)/(12*_xlfn.XLOOKUP(AF$2,sexo_cnu,cnu_elp))</f>
        <v>158779.23425516335</v>
      </c>
      <c r="AH4" s="32" t="s">
        <v>113</v>
      </c>
      <c r="AI4" s="30">
        <f>AJ3+1</f>
        <v>2024</v>
      </c>
      <c r="AJ4" s="84">
        <f>AJ3+10</f>
        <v>2033</v>
      </c>
      <c r="AK4" s="229">
        <f t="shared" si="0"/>
        <v>10</v>
      </c>
      <c r="AL4" s="230">
        <f t="shared" si="0"/>
        <v>10</v>
      </c>
      <c r="AM4" s="229">
        <f t="shared" si="1"/>
        <v>5.8</v>
      </c>
      <c r="AN4" s="230">
        <f t="shared" si="2"/>
        <v>5.8</v>
      </c>
      <c r="AO4" s="229">
        <f>_xlfn.LET(_xlpm.s,SUM(AO5:AO$8),MIN(tope_garantia-_xlpm.s,AM4))</f>
        <v>5.8</v>
      </c>
      <c r="AP4" s="230">
        <f>_xlfn.LET(_xlpm.s,SUM(AP5:AP$8),MIN(tope_garantia-_xlpm.s,AN4))</f>
        <v>5.8</v>
      </c>
      <c r="AQ4" s="242">
        <f t="shared" si="3"/>
        <v>0.1</v>
      </c>
      <c r="AR4" s="229">
        <f t="shared" si="4"/>
        <v>0.57999999999999996</v>
      </c>
      <c r="AS4" s="230">
        <f t="shared" si="4"/>
        <v>0.57999999999999996</v>
      </c>
      <c r="BA4" s="30" t="str">
        <v>Aumento por cotización</v>
      </c>
      <c r="BB4" s="38">
        <f>BB3-BB2</f>
        <v>36563</v>
      </c>
      <c r="BC4" s="38">
        <f>BC3-BC2</f>
        <v>32587</v>
      </c>
    </row>
    <row r="5" spans="1:55" x14ac:dyDescent="0.25">
      <c r="B5" s="34"/>
      <c r="C5" s="34"/>
      <c r="D5" s="34"/>
      <c r="E5" s="34"/>
      <c r="F5" s="34"/>
      <c r="G5" s="34"/>
      <c r="H5" s="34"/>
      <c r="I5" s="34"/>
      <c r="J5" s="34"/>
      <c r="K5" s="34"/>
      <c r="L5" s="71"/>
      <c r="M5" s="84"/>
      <c r="N5" s="85"/>
      <c r="O5" s="85"/>
      <c r="P5" s="85"/>
      <c r="Q5" s="85"/>
      <c r="R5" s="85"/>
      <c r="S5" s="85"/>
      <c r="V5" s="30" t="s">
        <v>217</v>
      </c>
      <c r="W5" s="47"/>
      <c r="X5" s="41">
        <f>6%-X4</f>
        <v>1.9999999999999997E-2</v>
      </c>
      <c r="Y5" s="47"/>
      <c r="AC5" s="47" t="s">
        <v>212</v>
      </c>
      <c r="AD5" s="45"/>
      <c r="AE5" s="255">
        <f t="array" ref="AE5">SUM((V$16:V$135+Z$16:Z$135)*($C$16:$C$135=AE3))/(12*_xlfn.XLOOKUP(AE$2,sexo_cnu,cnu_elp))</f>
        <v>286124.94281515543</v>
      </c>
      <c r="AF5" s="255">
        <f t="array" ref="AF5">SUM((W$16:W$135+AA$16:AA$135)*($C$16:$C$135=AF3))/(12*_xlfn.XLOOKUP(AF$2,sexo_cnu,cnu_elp))</f>
        <v>179292.73299327644</v>
      </c>
      <c r="AI5" s="30">
        <f>AJ4+1</f>
        <v>2034</v>
      </c>
      <c r="AJ5" s="84">
        <f>AJ4+10</f>
        <v>2043</v>
      </c>
      <c r="AK5" s="229">
        <f t="shared" si="0"/>
        <v>10</v>
      </c>
      <c r="AL5" s="230">
        <f t="shared" si="0"/>
        <v>10</v>
      </c>
      <c r="AM5" s="229">
        <f t="shared" si="1"/>
        <v>5.8</v>
      </c>
      <c r="AN5" s="230">
        <f t="shared" si="2"/>
        <v>5.8</v>
      </c>
      <c r="AO5" s="229">
        <f>_xlfn.LET(_xlpm.s,SUM(AO6:AO$8),MIN(tope_garantia-_xlpm.s,AM5))</f>
        <v>5.8</v>
      </c>
      <c r="AP5" s="230">
        <f>_xlfn.LET(_xlpm.s,SUM(AP6:AP$8),MIN(tope_garantia-_xlpm.s,AN5))</f>
        <v>5.8</v>
      </c>
      <c r="AQ5" s="242">
        <f t="shared" si="3"/>
        <v>0.1</v>
      </c>
      <c r="AR5" s="229">
        <f t="shared" si="4"/>
        <v>0.57999999999999996</v>
      </c>
      <c r="AS5" s="230">
        <f t="shared" si="4"/>
        <v>0.57999999999999996</v>
      </c>
      <c r="BA5" s="30" t="str">
        <v>Tabla Mortalidad</v>
      </c>
      <c r="BB5" s="38"/>
      <c r="BC5" s="248">
        <f>ROUND((IF($E$9&lt;2024,Parámetros!$AA$4,Parámetros!$AA$3)/Parámetros!$Z$4-1)*MIN(AJ$11,tope_bm*UF)*$X$7,0)</f>
        <v>31109</v>
      </c>
    </row>
    <row r="6" spans="1:55" x14ac:dyDescent="0.25">
      <c r="C6" s="32"/>
      <c r="D6" s="34"/>
      <c r="E6" s="34"/>
      <c r="F6" s="34"/>
      <c r="G6" s="34"/>
      <c r="H6" s="34"/>
      <c r="I6" s="34"/>
      <c r="J6" s="84"/>
      <c r="K6" s="85"/>
      <c r="L6" s="71"/>
      <c r="M6" s="84"/>
      <c r="N6" s="85"/>
      <c r="O6" s="85"/>
      <c r="P6" s="85"/>
      <c r="Q6" s="85"/>
      <c r="R6" s="85"/>
      <c r="S6" s="85"/>
      <c r="V6" s="40" t="s">
        <v>143</v>
      </c>
      <c r="X6" s="167">
        <f>0.16%*(1-VLOOKUP(a_nac,Parámetros!$AD$3:$AF$56,3))</f>
        <v>1.2800000000000001E-3</v>
      </c>
      <c r="Y6" s="47" t="s">
        <v>163</v>
      </c>
      <c r="AA6" s="86" t="s">
        <v>164</v>
      </c>
      <c r="AB6" s="84"/>
      <c r="AC6" s="287" t="s">
        <v>257</v>
      </c>
      <c r="AD6" s="33"/>
      <c r="AE6" s="269">
        <f>IF(Parámetros!Z$10&lt;2024,AE4,AE$5)</f>
        <v>286124.94281515543</v>
      </c>
      <c r="AF6" s="269">
        <f>IF(Parámetros!AA$10&lt;2024,AF4,AF$5)</f>
        <v>179292.73299327644</v>
      </c>
      <c r="AI6" s="30">
        <f>AJ5+1</f>
        <v>2044</v>
      </c>
      <c r="AJ6" s="84">
        <f>AJ5+10</f>
        <v>2053</v>
      </c>
      <c r="AK6" s="229">
        <f t="shared" si="0"/>
        <v>0</v>
      </c>
      <c r="AL6" s="230">
        <f t="shared" si="0"/>
        <v>0</v>
      </c>
      <c r="AM6" s="229">
        <f t="shared" si="1"/>
        <v>0</v>
      </c>
      <c r="AN6" s="230">
        <f t="shared" si="2"/>
        <v>0</v>
      </c>
      <c r="AO6" s="229">
        <f>_xlfn.LET(_xlpm.s,SUM(AO7:AO$8),MIN(tope_garantia-_xlpm.s,AM6))</f>
        <v>0</v>
      </c>
      <c r="AP6" s="230">
        <f>_xlfn.LET(_xlpm.s,SUM(AP7:AP$8),MIN(tope_garantia-_xlpm.s,AN6))</f>
        <v>0</v>
      </c>
      <c r="AQ6" s="242">
        <f t="shared" si="3"/>
        <v>0.1</v>
      </c>
      <c r="AR6" s="229">
        <f t="shared" si="4"/>
        <v>0</v>
      </c>
      <c r="AS6" s="230">
        <f t="shared" si="4"/>
        <v>0</v>
      </c>
      <c r="BA6" s="30" t="str">
        <v>Pensión intra</v>
      </c>
      <c r="BB6" s="38"/>
      <c r="BC6" s="38"/>
    </row>
    <row r="7" spans="1:55" x14ac:dyDescent="0.25">
      <c r="C7" s="32"/>
      <c r="D7" s="34"/>
      <c r="E7" s="34"/>
      <c r="F7" s="34"/>
      <c r="G7" s="34"/>
      <c r="H7" s="34"/>
      <c r="I7" s="34"/>
      <c r="J7" s="84"/>
      <c r="K7" s="85"/>
      <c r="L7" s="71"/>
      <c r="M7" s="84"/>
      <c r="N7" s="85"/>
      <c r="O7" s="85"/>
      <c r="P7" s="85"/>
      <c r="Q7" s="85"/>
      <c r="R7" s="85"/>
      <c r="S7" s="85"/>
      <c r="T7" s="172"/>
      <c r="U7" s="38"/>
      <c r="V7" s="252" t="s">
        <v>230</v>
      </c>
      <c r="W7" s="85"/>
      <c r="X7" s="253">
        <f>VLOOKUP(E9-a_nac,Parámetros!$Q$15:$R$20,2,FALSE)</f>
        <v>1</v>
      </c>
      <c r="Y7" s="85"/>
      <c r="Z7" s="85"/>
      <c r="AA7" s="85"/>
      <c r="AC7" s="65"/>
      <c r="AI7" s="30">
        <f>AJ6+1</f>
        <v>2054</v>
      </c>
      <c r="AJ7" s="84">
        <f>AJ6+10</f>
        <v>2063</v>
      </c>
      <c r="AK7" s="229">
        <f t="shared" si="0"/>
        <v>0</v>
      </c>
      <c r="AL7" s="230">
        <f t="shared" si="0"/>
        <v>0</v>
      </c>
      <c r="AM7" s="229">
        <f t="shared" si="1"/>
        <v>0</v>
      </c>
      <c r="AN7" s="230">
        <f t="shared" si="2"/>
        <v>0</v>
      </c>
      <c r="AO7" s="274">
        <f>_xlfn.LET(_xlpm.s,SUM(AO8:AO$8),MIN(tope_garantia-_xlpm.s,AM7))</f>
        <v>0</v>
      </c>
      <c r="AP7" s="275">
        <f>_xlfn.LET(_xlpm.s,SUM(AP8:AP$8),MIN(tope_garantia-_xlpm.s,AN7))</f>
        <v>0</v>
      </c>
      <c r="AQ7" s="242">
        <f t="shared" si="3"/>
        <v>0.1</v>
      </c>
      <c r="AR7" s="229">
        <f t="shared" si="4"/>
        <v>0</v>
      </c>
      <c r="AS7" s="230">
        <f t="shared" si="4"/>
        <v>0</v>
      </c>
      <c r="BA7" s="30" t="str">
        <v>Garantía</v>
      </c>
      <c r="BB7" s="247">
        <f>ROUND(MAX(AR9*UF-AT12,0),0)</f>
        <v>51304</v>
      </c>
      <c r="BC7" s="247">
        <f>ROUND(MAX(AS9*UF-AU12,0),0)</f>
        <v>67223</v>
      </c>
    </row>
    <row r="8" spans="1:55" ht="15.75" thickBot="1" x14ac:dyDescent="0.3">
      <c r="C8" s="32"/>
      <c r="D8" s="196" t="s">
        <v>110</v>
      </c>
      <c r="E8" s="196" t="s">
        <v>111</v>
      </c>
      <c r="F8" s="34"/>
      <c r="G8" s="34"/>
      <c r="H8" s="34"/>
      <c r="J8" s="84"/>
      <c r="K8" s="85"/>
      <c r="L8" s="71"/>
      <c r="M8" s="84"/>
      <c r="N8" s="85"/>
      <c r="O8" s="85"/>
      <c r="P8" s="85"/>
      <c r="Q8" s="85"/>
      <c r="R8" s="85"/>
      <c r="S8" s="85"/>
      <c r="T8" s="172"/>
      <c r="V8" s="252" t="s">
        <v>229</v>
      </c>
      <c r="W8" s="85"/>
      <c r="X8" s="254">
        <v>18</v>
      </c>
      <c r="Y8" s="85"/>
      <c r="Z8" s="85"/>
      <c r="AA8" s="85"/>
      <c r="AI8" s="30">
        <f>AJ7+1</f>
        <v>2064</v>
      </c>
      <c r="AJ8" s="84">
        <v>2100</v>
      </c>
      <c r="AK8" s="231">
        <f t="shared" si="0"/>
        <v>0</v>
      </c>
      <c r="AL8" s="232">
        <f t="shared" si="0"/>
        <v>0</v>
      </c>
      <c r="AM8" s="231">
        <f t="shared" si="1"/>
        <v>0</v>
      </c>
      <c r="AN8" s="232">
        <f t="shared" si="2"/>
        <v>0</v>
      </c>
      <c r="AO8" s="276">
        <f>MIN(tope_garantia,AM8)</f>
        <v>0</v>
      </c>
      <c r="AP8" s="277">
        <f>MIN(tope_garantia,AN8)</f>
        <v>0</v>
      </c>
      <c r="AQ8" s="243">
        <f t="shared" si="3"/>
        <v>0.1</v>
      </c>
      <c r="AR8" s="231">
        <f t="shared" si="4"/>
        <v>0</v>
      </c>
      <c r="AS8" s="232">
        <f t="shared" si="4"/>
        <v>0</v>
      </c>
      <c r="BA8" s="30" t="str">
        <v>Maternidad</v>
      </c>
      <c r="BB8" s="38"/>
      <c r="BC8" s="38">
        <f>ROUND(AO$11,0)</f>
        <v>0</v>
      </c>
    </row>
    <row r="9" spans="1:55" x14ac:dyDescent="0.25">
      <c r="B9" s="104" t="s">
        <v>119</v>
      </c>
      <c r="C9" s="32"/>
      <c r="D9" s="65">
        <f>_xlfn.XLOOKUP(D$8,sexo_cnu,agno_ret)</f>
        <v>2044</v>
      </c>
      <c r="E9" s="65">
        <f>_xlfn.XLOOKUP(E$8,sexo_cnu,agno_ret)</f>
        <v>2044</v>
      </c>
      <c r="F9" s="34"/>
      <c r="G9" s="34"/>
      <c r="H9" s="34"/>
      <c r="I9" s="34"/>
      <c r="J9" s="84"/>
      <c r="K9" s="85"/>
      <c r="L9" s="71"/>
      <c r="M9" s="84"/>
      <c r="N9" s="85"/>
      <c r="O9" s="85"/>
      <c r="P9" s="85"/>
      <c r="Q9" s="85"/>
      <c r="R9" s="85"/>
      <c r="S9" s="85"/>
      <c r="T9" s="174"/>
      <c r="U9" s="47"/>
      <c r="V9" s="30" t="s">
        <v>265</v>
      </c>
      <c r="W9" s="85"/>
      <c r="X9" s="206">
        <f>[0]!alpha</f>
        <v>0.7</v>
      </c>
      <c r="Y9" s="85"/>
      <c r="Z9" s="85"/>
      <c r="AA9" s="85"/>
      <c r="AH9" s="32"/>
      <c r="AJ9" s="30" t="s">
        <v>116</v>
      </c>
      <c r="AK9" s="244">
        <f>(a_nac+edad_ret_h-a_afil)</f>
        <v>41</v>
      </c>
      <c r="AL9" s="244">
        <f>(a_nac+edad_ret_m-a_afil)</f>
        <v>41</v>
      </c>
      <c r="AM9" s="244">
        <f t="shared" si="1"/>
        <v>23.779999999999998</v>
      </c>
      <c r="AN9" s="244">
        <f t="shared" si="2"/>
        <v>23.779999999999998</v>
      </c>
      <c r="AO9" s="244">
        <f>SUM(AO3:AO8)</f>
        <v>23.78</v>
      </c>
      <c r="AP9" s="244">
        <f>MIN(AN9,tope_garantia)</f>
        <v>23.779999999999998</v>
      </c>
      <c r="AQ9" s="245"/>
      <c r="AR9" s="278">
        <f>SUM(AR3:AR8)</f>
        <v>2.3780000000000001</v>
      </c>
      <c r="AS9" s="278">
        <f>SUM(AS3:AS8)</f>
        <v>2.3780000000000001</v>
      </c>
      <c r="BA9" s="30" t="str">
        <v>Cuidado</v>
      </c>
      <c r="BB9" s="38"/>
      <c r="BC9" s="38">
        <f>ROUND(AP$11,0)</f>
        <v>2460</v>
      </c>
    </row>
    <row r="10" spans="1:55" x14ac:dyDescent="0.25">
      <c r="D10" s="34"/>
      <c r="E10" s="34"/>
      <c r="F10" s="34"/>
      <c r="G10" s="34"/>
      <c r="H10" s="34"/>
      <c r="I10" s="35"/>
      <c r="J10" s="35"/>
      <c r="K10" s="85"/>
      <c r="L10" s="71"/>
      <c r="M10" s="84"/>
      <c r="N10" s="85"/>
      <c r="O10" s="85"/>
      <c r="P10" s="85"/>
      <c r="Q10" s="85"/>
      <c r="R10" s="85"/>
      <c r="S10" s="85"/>
      <c r="U10" s="47"/>
      <c r="V10" s="96" t="s">
        <v>263</v>
      </c>
      <c r="W10" s="85"/>
      <c r="X10" s="273">
        <v>30</v>
      </c>
      <c r="Y10" s="85"/>
      <c r="Z10" s="85"/>
      <c r="AA10" s="85"/>
      <c r="AO10" s="30"/>
      <c r="AP10" s="30"/>
      <c r="BA10" s="85" t="str">
        <v>Lagunas</v>
      </c>
      <c r="BB10" s="38"/>
      <c r="BC10" s="38"/>
    </row>
    <row r="11" spans="1:55" x14ac:dyDescent="0.25">
      <c r="A11" s="96"/>
      <c r="B11" s="84"/>
      <c r="C11" s="85"/>
      <c r="D11" s="208"/>
      <c r="E11" s="208"/>
      <c r="F11" s="208"/>
      <c r="G11" s="208"/>
      <c r="H11" s="208"/>
      <c r="I11" s="209"/>
      <c r="J11" s="209"/>
      <c r="K11" s="85"/>
      <c r="L11" s="71"/>
      <c r="M11" s="84"/>
      <c r="N11" s="85"/>
      <c r="O11" s="85"/>
      <c r="P11" s="85"/>
      <c r="Q11" s="85"/>
      <c r="R11" s="85"/>
      <c r="S11" s="85"/>
      <c r="T11" s="71"/>
      <c r="U11" s="47"/>
      <c r="V11" s="84"/>
      <c r="W11" s="85"/>
      <c r="X11" s="85"/>
      <c r="Y11" s="85"/>
      <c r="Z11" s="85"/>
      <c r="AA11" s="85"/>
      <c r="AG11" s="74">
        <f t="shared" ref="AG11:AR11" si="5">MAX(AG16:AG135)</f>
        <v>249562.18907357016</v>
      </c>
      <c r="AH11" s="74">
        <f t="shared" si="5"/>
        <v>222428.64055623682</v>
      </c>
      <c r="AI11" s="56">
        <f>MAX(AI16:AI135)</f>
        <v>286124.94281515543</v>
      </c>
      <c r="AJ11" s="56">
        <f>MAX(AJ16:AJ135)</f>
        <v>255016.12361977014</v>
      </c>
      <c r="AK11" s="53">
        <f t="shared" si="5"/>
        <v>0</v>
      </c>
      <c r="AL11" s="53">
        <f t="shared" si="5"/>
        <v>0</v>
      </c>
      <c r="AM11" s="53">
        <f t="shared" si="5"/>
        <v>0</v>
      </c>
      <c r="AN11" s="53">
        <f t="shared" si="5"/>
        <v>0</v>
      </c>
      <c r="AO11" s="53">
        <f t="shared" si="5"/>
        <v>0</v>
      </c>
      <c r="AP11" s="53">
        <f t="shared" si="5"/>
        <v>2459.7483858811015</v>
      </c>
      <c r="AQ11" s="53">
        <f t="shared" si="5"/>
        <v>0</v>
      </c>
      <c r="AR11" s="53">
        <f t="shared" si="5"/>
        <v>0</v>
      </c>
      <c r="AS11" s="84"/>
      <c r="AT11" s="68">
        <f t="shared" ref="AT11:AW11" si="6">MAX(AT16:AT135)</f>
        <v>34614.374958494293</v>
      </c>
      <c r="AU11" s="68">
        <f t="shared" si="6"/>
        <v>30850.940979092084</v>
      </c>
      <c r="AV11" s="68">
        <f t="shared" si="6"/>
        <v>251510.56785666113</v>
      </c>
      <c r="AW11" s="68">
        <f t="shared" si="6"/>
        <v>224165.18264067807</v>
      </c>
      <c r="AX11" s="85" t="s">
        <v>233</v>
      </c>
      <c r="AY11" s="85"/>
      <c r="AZ11" s="85"/>
    </row>
    <row r="12" spans="1:55" ht="15" customHeight="1" x14ac:dyDescent="0.25">
      <c r="A12" s="374" t="s">
        <v>20</v>
      </c>
      <c r="B12" s="201" t="s">
        <v>167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6"/>
      <c r="M12" s="309" t="s">
        <v>170</v>
      </c>
      <c r="N12" s="310"/>
      <c r="O12" s="310"/>
      <c r="P12" s="310"/>
      <c r="Q12" s="310"/>
      <c r="R12" s="310"/>
      <c r="S12" s="310"/>
      <c r="T12" s="311"/>
      <c r="U12" s="47"/>
      <c r="V12" s="298" t="s">
        <v>171</v>
      </c>
      <c r="W12" s="299"/>
      <c r="X12" s="299"/>
      <c r="Y12" s="299"/>
      <c r="Z12" s="299"/>
      <c r="AA12" s="299"/>
      <c r="AB12" s="312" t="s">
        <v>173</v>
      </c>
      <c r="AC12" s="312"/>
      <c r="AD12" s="312"/>
      <c r="AE12" s="312"/>
      <c r="AG12" s="357" t="str">
        <f>"PAFE sin reforma ("&amp;TEXT($X$2,"0,0%")&amp;")"</f>
        <v>PAFE sin reforma (10,0%)</v>
      </c>
      <c r="AH12" s="358"/>
      <c r="AI12" s="357" t="str">
        <f>"PAFE con reforma 
("&amp;TEXT($X$3,"0,0%")&amp;" + "&amp;TEXT(W14,"0%")&amp;" ind y col)"</f>
        <v>PAFE con reforma 
(10,5% + 4% ind y col)</v>
      </c>
      <c r="AJ12" s="358"/>
      <c r="AK12" s="313" t="s">
        <v>177</v>
      </c>
      <c r="AL12" s="314"/>
      <c r="AM12" s="314"/>
      <c r="AN12" s="314"/>
      <c r="AO12" s="314"/>
      <c r="AP12" s="314"/>
      <c r="AQ12" s="314"/>
      <c r="AR12" s="314"/>
      <c r="AS12" s="84"/>
      <c r="AT12" s="256" cm="1">
        <f t="array" ref="AT12">SUM((V$16:V$135)*($C$16:$C$135=AE3))/(12*_xlfn.XLOOKUP(AT$15,sexo_cnu,cnu_elp))</f>
        <v>34614.374958494293</v>
      </c>
      <c r="AU12" s="256" cm="1">
        <f t="array" ref="AU12">SUM((W$16:W$135)*($C$16:$C$135=AF3))/(12*_xlfn.XLOOKUP(AU$15,sexo_cnu,cnu_elp))</f>
        <v>18695.006915980728</v>
      </c>
      <c r="AX12" s="85" t="s">
        <v>232</v>
      </c>
      <c r="AY12" s="85"/>
      <c r="AZ12" s="85"/>
      <c r="BA12" s="30" t="s">
        <v>220</v>
      </c>
      <c r="BB12" s="249">
        <f>BB7+AT$11</f>
        <v>85918.3749584943</v>
      </c>
      <c r="BC12" s="249">
        <f>BC7+AU$11</f>
        <v>98073.940979092091</v>
      </c>
    </row>
    <row r="13" spans="1:55" s="58" customFormat="1" ht="44.25" customHeight="1" x14ac:dyDescent="0.25">
      <c r="A13" s="375"/>
      <c r="B13" s="394" t="s">
        <v>120</v>
      </c>
      <c r="C13" s="397" t="s">
        <v>104</v>
      </c>
      <c r="D13" s="363" t="s">
        <v>106</v>
      </c>
      <c r="E13" s="364"/>
      <c r="F13" s="363" t="s">
        <v>109</v>
      </c>
      <c r="G13" s="364"/>
      <c r="H13" s="400" t="s">
        <v>118</v>
      </c>
      <c r="I13" s="363" t="s">
        <v>108</v>
      </c>
      <c r="J13" s="364"/>
      <c r="K13" s="363" t="s">
        <v>107</v>
      </c>
      <c r="L13" s="364"/>
      <c r="M13" s="411" t="str">
        <f>"Cot extra "&amp;TEXT(N14,"0,0%")&amp;" 
Individual"</f>
        <v>Cot extra 4,0% 
Individual</v>
      </c>
      <c r="N13" s="411"/>
      <c r="O13" s="411" t="str">
        <f>"Cot extra "&amp;TEXT(N14,"0,0%")&amp;" 
Colectivo"</f>
        <v>Cot extra 4,0% 
Colectivo</v>
      </c>
      <c r="P13" s="411"/>
      <c r="Q13" s="377" t="str">
        <f>"Cotización sin reforma
"&amp;TEXT($X$2,"0,0%")</f>
        <v>Cotización sin reforma
10,0%</v>
      </c>
      <c r="R13" s="378"/>
      <c r="S13" s="377" t="str">
        <f>"Cotización con reforma por "&amp;TEXT($X$3,"0,0%")&amp;" (incluye lagunas "&amp;TEXT($X$3+$X$4,"0,0%")&amp;")"</f>
        <v>Cotización con reforma por 10,5% (incluye lagunas 14,5%)</v>
      </c>
      <c r="T13" s="378"/>
      <c r="U13" s="63"/>
      <c r="V13" s="412" t="str">
        <f>"Saldo cot extra "&amp;TEXT(W14,"0,0%")&amp;" 
Individual y Colectivo"</f>
        <v>Saldo cot extra 4,0% 
Individual y Colectivo</v>
      </c>
      <c r="W13" s="412"/>
      <c r="X13" s="387" t="str">
        <f>"Saldos sin reforma ("&amp;TEXT($X$2,"0,0%")&amp;")"</f>
        <v>Saldos sin reforma (10,0%)</v>
      </c>
      <c r="Y13" s="388"/>
      <c r="Z13" s="387" t="str">
        <f>"Saldo con reforma ("&amp;TEXT($X$3,"0,0%")&amp;")"</f>
        <v>Saldo con reforma (10,5%)</v>
      </c>
      <c r="AA13" s="388"/>
      <c r="AB13" s="381" t="s">
        <v>2</v>
      </c>
      <c r="AC13" s="351" t="s">
        <v>175</v>
      </c>
      <c r="AD13" s="353" t="s">
        <v>174</v>
      </c>
      <c r="AE13" s="354"/>
      <c r="AG13" s="359"/>
      <c r="AH13" s="360"/>
      <c r="AI13" s="359"/>
      <c r="AJ13" s="360"/>
      <c r="AK13" s="407"/>
      <c r="AL13" s="408"/>
      <c r="AM13" s="407"/>
      <c r="AN13" s="408"/>
      <c r="AO13" s="403" t="s">
        <v>2</v>
      </c>
      <c r="AP13" s="403" t="s">
        <v>105</v>
      </c>
      <c r="AQ13" s="370" t="s">
        <v>174</v>
      </c>
      <c r="AR13" s="371"/>
      <c r="AS13" s="182"/>
      <c r="AT13" s="387" t="str">
        <f>"PAFE cot extra "&amp;TEXT(W14,"0,0%")&amp;" Individual y Colectivo"</f>
        <v>PAFE cot extra 4,0% Individual y Colectivo</v>
      </c>
      <c r="AU13" s="388"/>
      <c r="AV13" s="387" t="str">
        <f>"PAFE con reforma (10,5%)"</f>
        <v>PAFE con reforma (10,5%)</v>
      </c>
      <c r="AW13" s="388"/>
      <c r="AX13" s="183"/>
      <c r="AY13" s="183"/>
      <c r="AZ13" s="183"/>
    </row>
    <row r="14" spans="1:55" ht="15" customHeight="1" x14ac:dyDescent="0.25">
      <c r="A14" s="375"/>
      <c r="B14" s="395"/>
      <c r="C14" s="398"/>
      <c r="D14" s="365"/>
      <c r="E14" s="366"/>
      <c r="F14" s="365"/>
      <c r="G14" s="366"/>
      <c r="H14" s="401"/>
      <c r="I14" s="365"/>
      <c r="J14" s="366"/>
      <c r="K14" s="365"/>
      <c r="L14" s="366"/>
      <c r="M14" s="30" t="s">
        <v>168</v>
      </c>
      <c r="N14" s="171">
        <f>$X$4</f>
        <v>0.04</v>
      </c>
      <c r="O14" s="30" t="s">
        <v>168</v>
      </c>
      <c r="P14" s="171">
        <f>N14</f>
        <v>0.04</v>
      </c>
      <c r="Q14" s="379"/>
      <c r="R14" s="380"/>
      <c r="S14" s="379"/>
      <c r="T14" s="380"/>
      <c r="U14" s="64"/>
      <c r="V14" s="30" t="s">
        <v>123</v>
      </c>
      <c r="W14" s="171">
        <f>N14</f>
        <v>0.04</v>
      </c>
      <c r="X14" s="389"/>
      <c r="Y14" s="390"/>
      <c r="Z14" s="389"/>
      <c r="AA14" s="390"/>
      <c r="AB14" s="382"/>
      <c r="AC14" s="352"/>
      <c r="AD14" s="355"/>
      <c r="AE14" s="356"/>
      <c r="AG14" s="361"/>
      <c r="AH14" s="362"/>
      <c r="AI14" s="361"/>
      <c r="AJ14" s="362"/>
      <c r="AK14" s="409"/>
      <c r="AL14" s="410"/>
      <c r="AM14" s="409"/>
      <c r="AN14" s="410"/>
      <c r="AO14" s="404"/>
      <c r="AP14" s="404"/>
      <c r="AQ14" s="372"/>
      <c r="AR14" s="373"/>
      <c r="AT14" s="389"/>
      <c r="AU14" s="390"/>
      <c r="AV14" s="389"/>
      <c r="AW14" s="390"/>
    </row>
    <row r="15" spans="1:55" x14ac:dyDescent="0.25">
      <c r="A15" s="376"/>
      <c r="B15" s="396"/>
      <c r="C15" s="399"/>
      <c r="D15" s="109" t="s">
        <v>2</v>
      </c>
      <c r="E15" s="109" t="s">
        <v>105</v>
      </c>
      <c r="F15" s="109" t="s">
        <v>165</v>
      </c>
      <c r="G15" s="109" t="s">
        <v>166</v>
      </c>
      <c r="H15" s="402"/>
      <c r="I15" s="109" t="s">
        <v>165</v>
      </c>
      <c r="J15" s="109" t="s">
        <v>166</v>
      </c>
      <c r="K15" s="109" t="s">
        <v>165</v>
      </c>
      <c r="L15" s="109" t="s">
        <v>166</v>
      </c>
      <c r="M15" s="31" t="s">
        <v>110</v>
      </c>
      <c r="N15" s="31" t="s">
        <v>111</v>
      </c>
      <c r="O15" s="31" t="s">
        <v>110</v>
      </c>
      <c r="P15" s="31" t="s">
        <v>111</v>
      </c>
      <c r="Q15" s="31" t="s">
        <v>110</v>
      </c>
      <c r="R15" s="31" t="s">
        <v>111</v>
      </c>
      <c r="S15" s="31" t="s">
        <v>110</v>
      </c>
      <c r="T15" s="31" t="s">
        <v>111</v>
      </c>
      <c r="U15" s="108"/>
      <c r="V15" s="31" t="s">
        <v>110</v>
      </c>
      <c r="W15" s="31" t="s">
        <v>111</v>
      </c>
      <c r="X15" s="31" t="s">
        <v>110</v>
      </c>
      <c r="Y15" s="31" t="s">
        <v>111</v>
      </c>
      <c r="Z15" s="31" t="s">
        <v>110</v>
      </c>
      <c r="AA15" s="31" t="s">
        <v>111</v>
      </c>
      <c r="AB15" s="31" t="s">
        <v>111</v>
      </c>
      <c r="AC15" s="31" t="s">
        <v>111</v>
      </c>
      <c r="AD15" s="31" t="s">
        <v>110</v>
      </c>
      <c r="AE15" s="31" t="s">
        <v>111</v>
      </c>
      <c r="AG15" s="33" t="s">
        <v>110</v>
      </c>
      <c r="AH15" s="33" t="s">
        <v>111</v>
      </c>
      <c r="AI15" s="33" t="s">
        <v>110</v>
      </c>
      <c r="AJ15" s="33" t="s">
        <v>111</v>
      </c>
      <c r="AK15" s="30" t="s">
        <v>110</v>
      </c>
      <c r="AL15" s="30" t="s">
        <v>111</v>
      </c>
      <c r="AM15" s="30" t="s">
        <v>110</v>
      </c>
      <c r="AN15" s="30" t="s">
        <v>111</v>
      </c>
      <c r="AO15" s="30" t="s">
        <v>111</v>
      </c>
      <c r="AP15" s="30" t="s">
        <v>111</v>
      </c>
      <c r="AQ15" s="30" t="s">
        <v>110</v>
      </c>
      <c r="AR15" s="30" t="s">
        <v>111</v>
      </c>
      <c r="AT15" s="31" t="s">
        <v>110</v>
      </c>
      <c r="AU15" s="31" t="s">
        <v>111</v>
      </c>
      <c r="AV15" s="33" t="s">
        <v>110</v>
      </c>
      <c r="AW15" s="33" t="s">
        <v>111</v>
      </c>
      <c r="AY15" s="188" t="s">
        <v>218</v>
      </c>
    </row>
    <row r="16" spans="1:55" s="96" customFormat="1" x14ac:dyDescent="0.25">
      <c r="A16" s="30">
        <v>1981</v>
      </c>
      <c r="B16" s="33">
        <f>w_uf*UF*Parámetros!C3</f>
        <v>380780.03679971903</v>
      </c>
      <c r="C16" s="30">
        <f t="shared" ref="C16:C17" si="7">IF(AND(A16-a_nac&lt;=110,A16-a_nac&gt;0),A16-a_nac,"")</f>
        <v>2</v>
      </c>
      <c r="D16" s="30">
        <f>((A16=Inputs!$C$12)*(Inputs!$D$12) + (A16=Inputs!$C$13)*(Inputs!$D$13) + (A16=Inputs!$C$14)*(Inputs!$D$14)) *(A16 &gt;= a_afil)*(A16&gt;=2024)</f>
        <v>0</v>
      </c>
      <c r="E16" s="30">
        <v>0</v>
      </c>
      <c r="F16" s="30">
        <f t="shared" ref="F16:F47" si="8" xml:space="preserve"> (C16&lt;edad_ret_h) * (A16&gt;=a_afil)</f>
        <v>0</v>
      </c>
      <c r="G16" s="30">
        <f t="shared" ref="G16:G47" si="9" xml:space="preserve"> (C16&lt;edad_ret_m) * (A16&gt;=a_afil)</f>
        <v>0</v>
      </c>
      <c r="H16" s="30">
        <v>0.11547011137008667</v>
      </c>
      <c r="I16" s="37">
        <f t="shared" ref="I16:I58" si="10">IF(F16=1,+dens_cot,0)</f>
        <v>0</v>
      </c>
      <c r="J16" s="37">
        <f t="shared" ref="J16:J58" si="11">IF(G16=1,+dens_mujer,0)</f>
        <v>0</v>
      </c>
      <c r="K16" s="30"/>
      <c r="M16" s="97"/>
      <c r="N16" s="98"/>
      <c r="O16" s="98"/>
      <c r="P16" s="98"/>
      <c r="Q16" s="192">
        <f t="shared" ref="Q16:R16" si="12">MIN($B16,_xlfn.XLOOKUP($A16,agnos,tope_base)*UF)*12*I16*$X$2</f>
        <v>0</v>
      </c>
      <c r="R16" s="192">
        <f t="shared" si="12"/>
        <v>0</v>
      </c>
      <c r="S16" s="192">
        <f t="shared" ref="S16" si="13">MIN($B16,_xlfn.XLOOKUP($A16,agnos,tope_base)*UF)*12*I16*$X$2</f>
        <v>0</v>
      </c>
      <c r="T16" s="192">
        <f t="shared" ref="T16" si="14">MIN($B16,_xlfn.XLOOKUP($A16,agnos,tope_base)*UF)*12*J16*$X$2</f>
        <v>0</v>
      </c>
      <c r="U16" s="98"/>
      <c r="V16" s="98"/>
      <c r="W16" s="98"/>
      <c r="X16" s="99"/>
      <c r="Y16" s="99"/>
      <c r="Z16" s="99"/>
      <c r="AA16" s="99"/>
      <c r="AG16" s="52">
        <f t="shared" ref="AG16:AG47" si="15">($A16=D$9)*X16/(12*_xlfn.XLOOKUP(AG$15,sexo_cnu,cnu))</f>
        <v>0</v>
      </c>
      <c r="AH16" s="52">
        <f t="shared" ref="AH16:AH47" si="16">($A16=E$9)*Y16/(12*_xlfn.XLOOKUP(AH$15,sexo_cnu,cnu))</f>
        <v>0</v>
      </c>
      <c r="AI16" s="52">
        <f t="shared" ref="AI16:AI58" si="17">($A16=D$9)*Z16/(12*_xlfn.XLOOKUP(AI$15,sexo_cnu,cnu))</f>
        <v>0</v>
      </c>
      <c r="AJ16" s="52">
        <f t="shared" ref="AJ16:AJ58" si="18">($A16=E$9)*AA16/(12*_xlfn.XLOOKUP(AJ$15,sexo_cnu,cnu))</f>
        <v>0</v>
      </c>
      <c r="AS16" s="100"/>
      <c r="AT16" s="98"/>
      <c r="AU16" s="98"/>
      <c r="AV16" s="189">
        <f t="shared" ref="AV16:AV58" si="19">IF(($A16=a_nac+edad_ret_h),Z16/(12*_xlfn.XLOOKUP(AV$15,sexo_cnu,cnu)),0)</f>
        <v>0</v>
      </c>
      <c r="AW16" s="189">
        <f t="shared" ref="AW16:AW47" si="20">IF($A16=a_nac+edad_ret_m,AA16/(12*_xlfn.XLOOKUP(AW$15,sexo_cnu,cnu)),0)</f>
        <v>0</v>
      </c>
      <c r="AX16" s="100"/>
      <c r="AY16" s="100"/>
    </row>
    <row r="17" spans="1:51" s="65" customFormat="1" x14ac:dyDescent="0.25">
      <c r="A17" s="30">
        <v>1982</v>
      </c>
      <c r="B17" s="33">
        <f>w_uf*UF*Parámetros!C4</f>
        <v>407279.08360989951</v>
      </c>
      <c r="C17" s="30">
        <f t="shared" si="7"/>
        <v>3</v>
      </c>
      <c r="D17" s="30">
        <f>((A17=Inputs!$C$12)*(Inputs!$D$12) + (A17=Inputs!$C$13)*(Inputs!$D$13) + (A17=Inputs!$C$14)*(Inputs!$D$14)) *(A17 &gt;= a_afil)*(A17&gt;=2024)</f>
        <v>0</v>
      </c>
      <c r="E17" s="30">
        <v>0</v>
      </c>
      <c r="F17" s="30">
        <f t="shared" si="8"/>
        <v>0</v>
      </c>
      <c r="G17" s="30">
        <f t="shared" si="9"/>
        <v>0</v>
      </c>
      <c r="H17" s="30">
        <v>0.17377340793609619</v>
      </c>
      <c r="I17" s="37">
        <f t="shared" si="10"/>
        <v>0</v>
      </c>
      <c r="J17" s="37">
        <f t="shared" si="11"/>
        <v>0</v>
      </c>
      <c r="K17" s="84"/>
      <c r="L17" s="101"/>
      <c r="M17" s="88"/>
      <c r="N17" s="69"/>
      <c r="O17" s="69"/>
      <c r="P17" s="69"/>
      <c r="Q17" s="70">
        <f t="shared" ref="Q17" si="21">MIN($B17,_xlfn.XLOOKUP($A17,agnos,tope_base)*UF)*12*I17*$X$2</f>
        <v>0</v>
      </c>
      <c r="R17" s="70">
        <f t="shared" ref="R17" si="22">MIN($B17,_xlfn.XLOOKUP($A17,agnos,tope_base)*UF)*12*J17*$X$2</f>
        <v>0</v>
      </c>
      <c r="S17" s="70">
        <f t="shared" ref="S17" si="23">MIN($B17,_xlfn.XLOOKUP($A17,agnos,tope_base)*UF)*12*I17*$X$2</f>
        <v>0</v>
      </c>
      <c r="T17" s="70">
        <f t="shared" ref="T17" si="24">MIN($B17,_xlfn.XLOOKUP($A17,agnos,tope_base)*UF)*12*J17*$X$2</f>
        <v>0</v>
      </c>
      <c r="U17" s="69"/>
      <c r="V17" s="69"/>
      <c r="W17" s="69"/>
      <c r="X17" s="70">
        <f t="shared" ref="X17:X48" si="25">F16*X16*(1+_xlfn.XLOOKUP(MIN(2024,$A16),agnos_rent,rent_base))+Q17</f>
        <v>0</v>
      </c>
      <c r="Y17" s="70">
        <f t="shared" ref="Y17:Y48" si="26">G16*Y16*(1+_xlfn.XLOOKUP(MIN(2024,$A16),agnos_rent,rent_base))+R17</f>
        <v>0</v>
      </c>
      <c r="Z17" s="70">
        <f t="shared" ref="Z17:Z58" si="27">F16*Z16*(1+_xlfn.XLOOKUP(MIN(2024,$A16),agnos_rent,rent_base))+S17</f>
        <v>0</v>
      </c>
      <c r="AA17" s="70">
        <f t="shared" ref="AA17:AA58" si="28">G16*AA16*(1+_xlfn.XLOOKUP(MIN(2024,$A16),agnos_rent,rent_base))+T17</f>
        <v>0</v>
      </c>
      <c r="AG17" s="74">
        <f t="shared" si="15"/>
        <v>0</v>
      </c>
      <c r="AH17" s="52">
        <f t="shared" si="16"/>
        <v>0</v>
      </c>
      <c r="AI17" s="74">
        <f t="shared" si="17"/>
        <v>0</v>
      </c>
      <c r="AJ17" s="74">
        <f t="shared" si="18"/>
        <v>0</v>
      </c>
      <c r="AS17" s="102"/>
      <c r="AT17" s="69"/>
      <c r="AU17" s="69"/>
      <c r="AV17" s="74">
        <f t="shared" si="19"/>
        <v>0</v>
      </c>
      <c r="AW17" s="74">
        <f t="shared" si="20"/>
        <v>0</v>
      </c>
      <c r="AX17" s="102"/>
      <c r="AY17" s="102"/>
    </row>
    <row r="18" spans="1:51" x14ac:dyDescent="0.25">
      <c r="A18" s="30">
        <v>1983</v>
      </c>
      <c r="B18" s="33">
        <f>w_uf*UF*Parámetros!C5</f>
        <v>416549.90038654342</v>
      </c>
      <c r="C18" s="30">
        <f t="shared" ref="C18" si="29">IF(AND(A18-a_nac&lt;=110,A18-a_nac&gt;0),A18-a_nac,"")</f>
        <v>4</v>
      </c>
      <c r="D18" s="30">
        <f>((A18=Inputs!$C$12)*(Inputs!$D$12) + (A18=Inputs!$C$13)*(Inputs!$D$13) + (A18=Inputs!$C$14)*(Inputs!$D$14)) *(A18 &gt;= a_afil)*(A18&gt;=2024)</f>
        <v>0</v>
      </c>
      <c r="E18" s="30">
        <v>0</v>
      </c>
      <c r="F18" s="30">
        <f t="shared" si="8"/>
        <v>0</v>
      </c>
      <c r="G18" s="30">
        <f t="shared" si="9"/>
        <v>0</v>
      </c>
      <c r="H18" s="30">
        <v>4.8118889331817627E-2</v>
      </c>
      <c r="I18" s="37">
        <f t="shared" si="10"/>
        <v>0</v>
      </c>
      <c r="J18" s="37">
        <f t="shared" si="11"/>
        <v>0</v>
      </c>
      <c r="K18" s="84"/>
      <c r="L18" s="71"/>
      <c r="M18" s="87"/>
      <c r="N18" s="47"/>
      <c r="O18" s="47"/>
      <c r="P18" s="47"/>
      <c r="Q18" s="192">
        <f t="shared" ref="Q18" si="30">MIN($B18,_xlfn.XLOOKUP($A18,agnos,tope_base)*UF)*12*I18*$X$2</f>
        <v>0</v>
      </c>
      <c r="R18" s="54">
        <f t="shared" ref="R18" si="31">MIN($B18,_xlfn.XLOOKUP($A18,agnos,tope_base)*UF)*12*J18*$X$2</f>
        <v>0</v>
      </c>
      <c r="S18" s="54">
        <f t="shared" ref="S18" si="32">MIN($B18,_xlfn.XLOOKUP($A18,agnos,tope_base)*UF)*12*I18*$X$2</f>
        <v>0</v>
      </c>
      <c r="T18" s="54">
        <f t="shared" ref="T18" si="33">MIN($B18,_xlfn.XLOOKUP($A18,agnos,tope_base)*UF)*12*J18*$X$2</f>
        <v>0</v>
      </c>
      <c r="U18" s="47"/>
      <c r="V18" s="47"/>
      <c r="W18" s="47"/>
      <c r="X18" s="70">
        <f t="shared" si="25"/>
        <v>0</v>
      </c>
      <c r="Y18" s="70">
        <f t="shared" si="26"/>
        <v>0</v>
      </c>
      <c r="Z18" s="70">
        <f t="shared" si="27"/>
        <v>0</v>
      </c>
      <c r="AA18" s="70">
        <f t="shared" si="28"/>
        <v>0</v>
      </c>
      <c r="AG18" s="52">
        <f t="shared" si="15"/>
        <v>0</v>
      </c>
      <c r="AH18" s="52">
        <f t="shared" si="16"/>
        <v>0</v>
      </c>
      <c r="AI18" s="52">
        <f t="shared" si="17"/>
        <v>0</v>
      </c>
      <c r="AJ18" s="52">
        <f t="shared" si="18"/>
        <v>0</v>
      </c>
      <c r="AK18" s="30"/>
      <c r="AL18" s="30"/>
      <c r="AM18" s="30"/>
      <c r="AN18" s="30"/>
      <c r="AO18" s="30"/>
      <c r="AP18" s="30"/>
      <c r="AS18" s="39"/>
      <c r="AT18" s="47"/>
      <c r="AU18" s="47"/>
      <c r="AV18" s="52">
        <f t="shared" si="19"/>
        <v>0</v>
      </c>
      <c r="AW18" s="52">
        <f t="shared" si="20"/>
        <v>0</v>
      </c>
      <c r="AX18" s="39"/>
      <c r="AY18" s="39"/>
    </row>
    <row r="19" spans="1:51" x14ac:dyDescent="0.25">
      <c r="A19" s="30">
        <v>1984</v>
      </c>
      <c r="B19" s="33">
        <f>w_uf*UF*Parámetros!C6</f>
        <v>370107.77342588617</v>
      </c>
      <c r="C19" s="30">
        <f t="shared" ref="C19" si="34">IF(AND(A19-a_nac&lt;=110,A19-a_nac&gt;0),A19-a_nac,"")</f>
        <v>5</v>
      </c>
      <c r="D19" s="30">
        <f>((A19=Inputs!$C$12)*(Inputs!$D$12) + (A19=Inputs!$C$13)*(Inputs!$D$13) + (A19=Inputs!$C$14)*(Inputs!$D$14)) *(A19 &gt;= a_afil)*(A19&gt;=2024)</f>
        <v>0</v>
      </c>
      <c r="E19" s="30">
        <v>0</v>
      </c>
      <c r="F19" s="30">
        <f t="shared" si="8"/>
        <v>0</v>
      </c>
      <c r="G19" s="30">
        <f t="shared" si="9"/>
        <v>0</v>
      </c>
      <c r="H19" s="30">
        <v>0.71481633186340332</v>
      </c>
      <c r="I19" s="37">
        <f t="shared" si="10"/>
        <v>0</v>
      </c>
      <c r="J19" s="37">
        <f t="shared" si="11"/>
        <v>0</v>
      </c>
      <c r="K19" s="84"/>
      <c r="L19" s="71"/>
      <c r="M19" s="87"/>
      <c r="N19" s="47"/>
      <c r="O19" s="47"/>
      <c r="P19" s="47"/>
      <c r="Q19" s="54">
        <f t="shared" ref="Q19" si="35">MIN($B19,_xlfn.XLOOKUP($A19,agnos,tope_base)*UF)*12*I19*$X$2</f>
        <v>0</v>
      </c>
      <c r="R19" s="54">
        <f t="shared" ref="R19" si="36">MIN($B19,_xlfn.XLOOKUP($A19,agnos,tope_base)*UF)*12*J19*$X$2</f>
        <v>0</v>
      </c>
      <c r="S19" s="54">
        <f t="shared" ref="S19" si="37">MIN($B19,_xlfn.XLOOKUP($A19,agnos,tope_base)*UF)*12*I19*$X$2</f>
        <v>0</v>
      </c>
      <c r="T19" s="54">
        <f t="shared" ref="T19" si="38">MIN($B19,_xlfn.XLOOKUP($A19,agnos,tope_base)*UF)*12*J19*$X$2</f>
        <v>0</v>
      </c>
      <c r="U19" s="47"/>
      <c r="V19" s="47"/>
      <c r="W19" s="47"/>
      <c r="X19" s="70">
        <f t="shared" si="25"/>
        <v>0</v>
      </c>
      <c r="Y19" s="70">
        <f t="shared" si="26"/>
        <v>0</v>
      </c>
      <c r="Z19" s="70">
        <f t="shared" si="27"/>
        <v>0</v>
      </c>
      <c r="AA19" s="70">
        <f t="shared" si="28"/>
        <v>0</v>
      </c>
      <c r="AG19" s="52">
        <f t="shared" si="15"/>
        <v>0</v>
      </c>
      <c r="AH19" s="52">
        <f t="shared" si="16"/>
        <v>0</v>
      </c>
      <c r="AI19" s="52">
        <f t="shared" si="17"/>
        <v>0</v>
      </c>
      <c r="AJ19" s="52">
        <f t="shared" si="18"/>
        <v>0</v>
      </c>
      <c r="AK19" s="30"/>
      <c r="AL19" s="30"/>
      <c r="AM19" s="30"/>
      <c r="AN19" s="30"/>
      <c r="AO19" s="30"/>
      <c r="AP19" s="30"/>
      <c r="AS19" s="39"/>
      <c r="AT19" s="47"/>
      <c r="AU19" s="47"/>
      <c r="AV19" s="52">
        <f t="shared" si="19"/>
        <v>0</v>
      </c>
      <c r="AW19" s="52">
        <f t="shared" si="20"/>
        <v>0</v>
      </c>
      <c r="AX19" s="39"/>
      <c r="AY19" s="39"/>
    </row>
    <row r="20" spans="1:51" x14ac:dyDescent="0.25">
      <c r="A20" s="30">
        <v>1985</v>
      </c>
      <c r="B20" s="33">
        <f>w_uf*UF*Parámetros!C7</f>
        <v>371644.21891942294</v>
      </c>
      <c r="C20" s="30">
        <f t="shared" ref="C20" si="39">IF(AND(A20-a_nac&lt;=110,A20-a_nac&gt;0),A20-a_nac,"")</f>
        <v>6</v>
      </c>
      <c r="D20" s="30">
        <f>((A20=Inputs!$C$12)*(Inputs!$D$12) + (A20=Inputs!$C$13)*(Inputs!$D$13) + (A20=Inputs!$C$14)*(Inputs!$D$14)) *(A20 &gt;= a_afil)*(A20&gt;=2024)</f>
        <v>0</v>
      </c>
      <c r="E20" s="30">
        <v>0</v>
      </c>
      <c r="F20" s="30">
        <f t="shared" si="8"/>
        <v>0</v>
      </c>
      <c r="G20" s="30">
        <f t="shared" si="9"/>
        <v>0</v>
      </c>
      <c r="H20" s="30">
        <v>0.53302234411239624</v>
      </c>
      <c r="I20" s="37">
        <f t="shared" si="10"/>
        <v>0</v>
      </c>
      <c r="J20" s="37">
        <f t="shared" si="11"/>
        <v>0</v>
      </c>
      <c r="K20" s="84"/>
      <c r="L20" s="71"/>
      <c r="M20" s="87"/>
      <c r="N20" s="47"/>
      <c r="O20" s="47"/>
      <c r="P20" s="47"/>
      <c r="Q20" s="54">
        <f t="shared" ref="Q20" si="40">MIN($B20,_xlfn.XLOOKUP($A20,agnos,tope_base)*UF)*12*I20*$X$2</f>
        <v>0</v>
      </c>
      <c r="R20" s="54">
        <f t="shared" ref="R20" si="41">MIN($B20,_xlfn.XLOOKUP($A20,agnos,tope_base)*UF)*12*J20*$X$2</f>
        <v>0</v>
      </c>
      <c r="S20" s="54">
        <f t="shared" ref="S20" si="42">MIN($B20,_xlfn.XLOOKUP($A20,agnos,tope_base)*UF)*12*I20*$X$2</f>
        <v>0</v>
      </c>
      <c r="T20" s="54">
        <f t="shared" ref="T20" si="43">MIN($B20,_xlfn.XLOOKUP($A20,agnos,tope_base)*UF)*12*J20*$X$2</f>
        <v>0</v>
      </c>
      <c r="U20" s="47"/>
      <c r="V20" s="47"/>
      <c r="W20" s="47"/>
      <c r="X20" s="70">
        <f t="shared" si="25"/>
        <v>0</v>
      </c>
      <c r="Y20" s="70">
        <f t="shared" si="26"/>
        <v>0</v>
      </c>
      <c r="Z20" s="70">
        <f t="shared" si="27"/>
        <v>0</v>
      </c>
      <c r="AA20" s="70">
        <f t="shared" si="28"/>
        <v>0</v>
      </c>
      <c r="AG20" s="52">
        <f t="shared" si="15"/>
        <v>0</v>
      </c>
      <c r="AH20" s="52">
        <f t="shared" si="16"/>
        <v>0</v>
      </c>
      <c r="AI20" s="52">
        <f t="shared" si="17"/>
        <v>0</v>
      </c>
      <c r="AJ20" s="52">
        <f t="shared" si="18"/>
        <v>0</v>
      </c>
      <c r="AK20" s="30"/>
      <c r="AL20" s="30"/>
      <c r="AM20" s="30"/>
      <c r="AN20" s="30"/>
      <c r="AO20" s="30"/>
      <c r="AP20" s="30"/>
      <c r="AS20" s="39"/>
      <c r="AT20" s="47"/>
      <c r="AU20" s="47"/>
      <c r="AV20" s="52">
        <f t="shared" si="19"/>
        <v>0</v>
      </c>
      <c r="AW20" s="52">
        <f t="shared" si="20"/>
        <v>0</v>
      </c>
      <c r="AX20" s="39"/>
      <c r="AY20" s="39"/>
    </row>
    <row r="21" spans="1:51" x14ac:dyDescent="0.25">
      <c r="A21" s="30">
        <v>1986</v>
      </c>
      <c r="B21" s="33">
        <f>w_uf*UF*Parámetros!C8</f>
        <v>355266.04053559707</v>
      </c>
      <c r="C21" s="30">
        <f t="shared" ref="C21" si="44">IF(AND(A21-a_nac&lt;=110,A21-a_nac&gt;0),A21-a_nac,"")</f>
        <v>7</v>
      </c>
      <c r="D21" s="30">
        <f>((A21=Inputs!$C$12)*(Inputs!$D$12) + (A21=Inputs!$C$13)*(Inputs!$D$13) + (A21=Inputs!$C$14)*(Inputs!$D$14)) *(A21 &gt;= a_afil)*(A21&gt;=2024)</f>
        <v>0</v>
      </c>
      <c r="E21" s="30">
        <v>0</v>
      </c>
      <c r="F21" s="30">
        <f t="shared" si="8"/>
        <v>0</v>
      </c>
      <c r="G21" s="30">
        <f t="shared" si="9"/>
        <v>0</v>
      </c>
      <c r="H21" s="30">
        <v>0.56100928783416748</v>
      </c>
      <c r="I21" s="37">
        <f t="shared" si="10"/>
        <v>0</v>
      </c>
      <c r="J21" s="37">
        <f t="shared" si="11"/>
        <v>0</v>
      </c>
      <c r="K21" s="84"/>
      <c r="L21" s="71"/>
      <c r="M21" s="87"/>
      <c r="N21" s="47"/>
      <c r="O21" s="47"/>
      <c r="P21" s="47"/>
      <c r="Q21" s="54">
        <f t="shared" ref="Q21" si="45">MIN($B21,_xlfn.XLOOKUP($A21,agnos,tope_base)*UF)*12*I21*$X$2</f>
        <v>0</v>
      </c>
      <c r="R21" s="54">
        <f t="shared" ref="R21" si="46">MIN($B21,_xlfn.XLOOKUP($A21,agnos,tope_base)*UF)*12*J21*$X$2</f>
        <v>0</v>
      </c>
      <c r="S21" s="54">
        <f t="shared" ref="S21" si="47">MIN($B21,_xlfn.XLOOKUP($A21,agnos,tope_base)*UF)*12*I21*$X$2</f>
        <v>0</v>
      </c>
      <c r="T21" s="54">
        <f t="shared" ref="T21" si="48">MIN($B21,_xlfn.XLOOKUP($A21,agnos,tope_base)*UF)*12*J21*$X$2</f>
        <v>0</v>
      </c>
      <c r="U21" s="47"/>
      <c r="V21" s="47"/>
      <c r="W21" s="47"/>
      <c r="X21" s="70">
        <f t="shared" si="25"/>
        <v>0</v>
      </c>
      <c r="Y21" s="70">
        <f t="shared" si="26"/>
        <v>0</v>
      </c>
      <c r="Z21" s="70">
        <f t="shared" si="27"/>
        <v>0</v>
      </c>
      <c r="AA21" s="70">
        <f t="shared" si="28"/>
        <v>0</v>
      </c>
      <c r="AG21" s="52">
        <f t="shared" si="15"/>
        <v>0</v>
      </c>
      <c r="AH21" s="52">
        <f t="shared" si="16"/>
        <v>0</v>
      </c>
      <c r="AI21" s="52">
        <f t="shared" si="17"/>
        <v>0</v>
      </c>
      <c r="AJ21" s="52">
        <f t="shared" si="18"/>
        <v>0</v>
      </c>
      <c r="AK21" s="30"/>
      <c r="AL21" s="30"/>
      <c r="AM21" s="30"/>
      <c r="AN21" s="30"/>
      <c r="AO21" s="30"/>
      <c r="AP21" s="30"/>
      <c r="AS21" s="39"/>
      <c r="AT21" s="47"/>
      <c r="AU21" s="47"/>
      <c r="AV21" s="52">
        <f t="shared" si="19"/>
        <v>0</v>
      </c>
      <c r="AW21" s="52">
        <f t="shared" si="20"/>
        <v>0</v>
      </c>
      <c r="AX21" s="39"/>
      <c r="AY21" s="39"/>
    </row>
    <row r="22" spans="1:51" x14ac:dyDescent="0.25">
      <c r="A22" s="30">
        <v>1987</v>
      </c>
      <c r="B22" s="33">
        <f>w_uf*UF*Parámetros!C9</f>
        <v>359257.97682883986</v>
      </c>
      <c r="C22" s="30">
        <f t="shared" ref="C22" si="49">IF(AND(A22-a_nac&lt;=110,A22-a_nac&gt;0),A22-a_nac,"")</f>
        <v>8</v>
      </c>
      <c r="D22" s="30">
        <f>((A22=Inputs!$C$12)*(Inputs!$D$12) + (A22=Inputs!$C$13)*(Inputs!$D$13) + (A22=Inputs!$C$14)*(Inputs!$D$14)) *(A22 &gt;= a_afil)*(A22&gt;=2024)</f>
        <v>0</v>
      </c>
      <c r="E22" s="30">
        <v>0</v>
      </c>
      <c r="F22" s="30">
        <f t="shared" si="8"/>
        <v>0</v>
      </c>
      <c r="G22" s="30">
        <f t="shared" si="9"/>
        <v>0</v>
      </c>
      <c r="H22" s="30">
        <v>0.21673351526260376</v>
      </c>
      <c r="I22" s="37">
        <f t="shared" si="10"/>
        <v>0</v>
      </c>
      <c r="J22" s="37">
        <f t="shared" si="11"/>
        <v>0</v>
      </c>
      <c r="K22" s="84"/>
      <c r="L22" s="71"/>
      <c r="M22" s="87"/>
      <c r="N22" s="47"/>
      <c r="O22" s="47"/>
      <c r="P22" s="47"/>
      <c r="Q22" s="54">
        <f t="shared" ref="Q22" si="50">MIN($B22,_xlfn.XLOOKUP($A22,agnos,tope_base)*UF)*12*I22*$X$2</f>
        <v>0</v>
      </c>
      <c r="R22" s="54">
        <f t="shared" ref="R22" si="51">MIN($B22,_xlfn.XLOOKUP($A22,agnos,tope_base)*UF)*12*J22*$X$2</f>
        <v>0</v>
      </c>
      <c r="S22" s="54">
        <f t="shared" ref="S22" si="52">MIN($B22,_xlfn.XLOOKUP($A22,agnos,tope_base)*UF)*12*I22*$X$2</f>
        <v>0</v>
      </c>
      <c r="T22" s="54">
        <f t="shared" ref="T22" si="53">MIN($B22,_xlfn.XLOOKUP($A22,agnos,tope_base)*UF)*12*J22*$X$2</f>
        <v>0</v>
      </c>
      <c r="U22" s="47"/>
      <c r="V22" s="47"/>
      <c r="W22" s="47"/>
      <c r="X22" s="70">
        <f t="shared" si="25"/>
        <v>0</v>
      </c>
      <c r="Y22" s="70">
        <f t="shared" si="26"/>
        <v>0</v>
      </c>
      <c r="Z22" s="70">
        <f t="shared" si="27"/>
        <v>0</v>
      </c>
      <c r="AA22" s="70">
        <f t="shared" si="28"/>
        <v>0</v>
      </c>
      <c r="AG22" s="52">
        <f t="shared" si="15"/>
        <v>0</v>
      </c>
      <c r="AH22" s="52">
        <f t="shared" si="16"/>
        <v>0</v>
      </c>
      <c r="AI22" s="52">
        <f t="shared" si="17"/>
        <v>0</v>
      </c>
      <c r="AJ22" s="52">
        <f t="shared" si="18"/>
        <v>0</v>
      </c>
      <c r="AK22" s="30"/>
      <c r="AL22" s="30"/>
      <c r="AM22" s="30"/>
      <c r="AN22" s="30"/>
      <c r="AO22" s="30"/>
      <c r="AP22" s="30"/>
      <c r="AS22" s="39"/>
      <c r="AT22" s="47"/>
      <c r="AU22" s="47"/>
      <c r="AV22" s="52">
        <f t="shared" si="19"/>
        <v>0</v>
      </c>
      <c r="AW22" s="52">
        <f t="shared" si="20"/>
        <v>0</v>
      </c>
      <c r="AX22" s="39"/>
      <c r="AY22" s="39"/>
    </row>
    <row r="23" spans="1:51" x14ac:dyDescent="0.25">
      <c r="A23" s="30">
        <v>1988</v>
      </c>
      <c r="B23" s="33">
        <f>w_uf*UF*Parámetros!C10</f>
        <v>360615.50271978014</v>
      </c>
      <c r="C23" s="30">
        <f t="shared" ref="C23" si="54">IF(AND(A23-a_nac&lt;=110,A23-a_nac&gt;0),A23-a_nac,"")</f>
        <v>9</v>
      </c>
      <c r="D23" s="30">
        <f>((A23=Inputs!$C$12)*(Inputs!$D$12) + (A23=Inputs!$C$13)*(Inputs!$D$13) + (A23=Inputs!$C$14)*(Inputs!$D$14)) *(A23 &gt;= a_afil)*(A23&gt;=2024)</f>
        <v>0</v>
      </c>
      <c r="E23" s="30">
        <v>0</v>
      </c>
      <c r="F23" s="30">
        <f t="shared" si="8"/>
        <v>0</v>
      </c>
      <c r="G23" s="30">
        <f t="shared" si="9"/>
        <v>0</v>
      </c>
      <c r="H23" s="30">
        <v>0.46800565719604492</v>
      </c>
      <c r="I23" s="37">
        <f t="shared" si="10"/>
        <v>0</v>
      </c>
      <c r="J23" s="37">
        <f t="shared" si="11"/>
        <v>0</v>
      </c>
      <c r="K23" s="84"/>
      <c r="L23" s="71"/>
      <c r="M23" s="87"/>
      <c r="N23" s="47"/>
      <c r="O23" s="47"/>
      <c r="P23" s="47"/>
      <c r="Q23" s="54">
        <f t="shared" ref="Q23" si="55">MIN($B23,_xlfn.XLOOKUP($A23,agnos,tope_base)*UF)*12*I23*$X$2</f>
        <v>0</v>
      </c>
      <c r="R23" s="54">
        <f t="shared" ref="R23" si="56">MIN($B23,_xlfn.XLOOKUP($A23,agnos,tope_base)*UF)*12*J23*$X$2</f>
        <v>0</v>
      </c>
      <c r="S23" s="54">
        <f t="shared" ref="S23" si="57">MIN($B23,_xlfn.XLOOKUP($A23,agnos,tope_base)*UF)*12*I23*$X$2</f>
        <v>0</v>
      </c>
      <c r="T23" s="54">
        <f t="shared" ref="T23" si="58">MIN($B23,_xlfn.XLOOKUP($A23,agnos,tope_base)*UF)*12*J23*$X$2</f>
        <v>0</v>
      </c>
      <c r="U23" s="47"/>
      <c r="V23" s="47"/>
      <c r="W23" s="47"/>
      <c r="X23" s="70">
        <f t="shared" si="25"/>
        <v>0</v>
      </c>
      <c r="Y23" s="70">
        <f t="shared" si="26"/>
        <v>0</v>
      </c>
      <c r="Z23" s="70">
        <f t="shared" si="27"/>
        <v>0</v>
      </c>
      <c r="AA23" s="70">
        <f t="shared" si="28"/>
        <v>0</v>
      </c>
      <c r="AG23" s="52">
        <f t="shared" si="15"/>
        <v>0</v>
      </c>
      <c r="AH23" s="52">
        <f t="shared" si="16"/>
        <v>0</v>
      </c>
      <c r="AI23" s="52">
        <f t="shared" si="17"/>
        <v>0</v>
      </c>
      <c r="AJ23" s="52">
        <f t="shared" si="18"/>
        <v>0</v>
      </c>
      <c r="AK23" s="30"/>
      <c r="AL23" s="30"/>
      <c r="AM23" s="30"/>
      <c r="AN23" s="30"/>
      <c r="AO23" s="30"/>
      <c r="AP23" s="30"/>
      <c r="AS23" s="39"/>
      <c r="AT23" s="47"/>
      <c r="AU23" s="47"/>
      <c r="AV23" s="52">
        <f t="shared" si="19"/>
        <v>0</v>
      </c>
      <c r="AW23" s="52">
        <f t="shared" si="20"/>
        <v>0</v>
      </c>
      <c r="AX23" s="39"/>
      <c r="AY23" s="39"/>
    </row>
    <row r="24" spans="1:51" x14ac:dyDescent="0.25">
      <c r="A24" s="30">
        <v>1989</v>
      </c>
      <c r="B24" s="33">
        <f>w_uf*UF*Parámetros!C11</f>
        <v>380483.57160776353</v>
      </c>
      <c r="C24" s="30">
        <f t="shared" ref="C24" si="59">IF(AND(A24-a_nac&lt;=110,A24-a_nac&gt;0),A24-a_nac,"")</f>
        <v>10</v>
      </c>
      <c r="D24" s="30">
        <f>((A24=Inputs!$C$12)*(Inputs!$D$12) + (A24=Inputs!$C$13)*(Inputs!$D$13) + (A24=Inputs!$C$14)*(Inputs!$D$14)) *(A24 &gt;= a_afil)*(A24&gt;=2024)</f>
        <v>0</v>
      </c>
      <c r="E24" s="30">
        <v>0</v>
      </c>
      <c r="F24" s="30">
        <f t="shared" si="8"/>
        <v>0</v>
      </c>
      <c r="G24" s="30">
        <f t="shared" si="9"/>
        <v>0</v>
      </c>
      <c r="H24" s="30">
        <v>0.74635475873947144</v>
      </c>
      <c r="I24" s="37">
        <f t="shared" si="10"/>
        <v>0</v>
      </c>
      <c r="J24" s="37">
        <f t="shared" si="11"/>
        <v>0</v>
      </c>
      <c r="K24" s="84"/>
      <c r="L24" s="71"/>
      <c r="M24" s="87"/>
      <c r="N24" s="47"/>
      <c r="O24" s="47"/>
      <c r="P24" s="47"/>
      <c r="Q24" s="54">
        <f t="shared" ref="Q24" si="60">MIN($B24,_xlfn.XLOOKUP($A24,agnos,tope_base)*UF)*12*I24*$X$2</f>
        <v>0</v>
      </c>
      <c r="R24" s="54">
        <f t="shared" ref="R24" si="61">MIN($B24,_xlfn.XLOOKUP($A24,agnos,tope_base)*UF)*12*J24*$X$2</f>
        <v>0</v>
      </c>
      <c r="S24" s="54">
        <f t="shared" ref="S24" si="62">MIN($B24,_xlfn.XLOOKUP($A24,agnos,tope_base)*UF)*12*I24*$X$2</f>
        <v>0</v>
      </c>
      <c r="T24" s="54">
        <f t="shared" ref="T24" si="63">MIN($B24,_xlfn.XLOOKUP($A24,agnos,tope_base)*UF)*12*J24*$X$2</f>
        <v>0</v>
      </c>
      <c r="U24" s="47"/>
      <c r="V24" s="47"/>
      <c r="W24" s="47"/>
      <c r="X24" s="70">
        <f t="shared" si="25"/>
        <v>0</v>
      </c>
      <c r="Y24" s="70">
        <f t="shared" si="26"/>
        <v>0</v>
      </c>
      <c r="Z24" s="70">
        <f t="shared" si="27"/>
        <v>0</v>
      </c>
      <c r="AA24" s="70">
        <f t="shared" si="28"/>
        <v>0</v>
      </c>
      <c r="AG24" s="52">
        <f t="shared" si="15"/>
        <v>0</v>
      </c>
      <c r="AH24" s="52">
        <f t="shared" si="16"/>
        <v>0</v>
      </c>
      <c r="AI24" s="52">
        <f t="shared" si="17"/>
        <v>0</v>
      </c>
      <c r="AJ24" s="52">
        <f t="shared" si="18"/>
        <v>0</v>
      </c>
      <c r="AK24" s="30"/>
      <c r="AL24" s="30"/>
      <c r="AM24" s="30"/>
      <c r="AN24" s="30"/>
      <c r="AO24" s="30"/>
      <c r="AP24" s="30"/>
      <c r="AS24" s="39"/>
      <c r="AT24" s="47"/>
      <c r="AU24" s="47"/>
      <c r="AV24" s="52">
        <f t="shared" si="19"/>
        <v>0</v>
      </c>
      <c r="AW24" s="52">
        <f t="shared" si="20"/>
        <v>0</v>
      </c>
      <c r="AX24" s="39"/>
      <c r="AY24" s="39"/>
    </row>
    <row r="25" spans="1:51" x14ac:dyDescent="0.25">
      <c r="A25" s="30">
        <v>1990</v>
      </c>
      <c r="B25" s="33">
        <f>w_uf*UF*Parámetros!C12</f>
        <v>391749.31518672069</v>
      </c>
      <c r="C25" s="30">
        <f t="shared" ref="C25" si="64">IF(AND(A25-a_nac&lt;=110,A25-a_nac&gt;0),A25-a_nac,"")</f>
        <v>11</v>
      </c>
      <c r="D25" s="30">
        <f>((A25=Inputs!$C$12)*(Inputs!$D$12) + (A25=Inputs!$C$13)*(Inputs!$D$13) + (A25=Inputs!$C$14)*(Inputs!$D$14)) *(A25 &gt;= a_afil)*(A25&gt;=2024)</f>
        <v>0</v>
      </c>
      <c r="E25" s="30">
        <v>0</v>
      </c>
      <c r="F25" s="30">
        <f t="shared" si="8"/>
        <v>0</v>
      </c>
      <c r="G25" s="30">
        <f t="shared" si="9"/>
        <v>0</v>
      </c>
      <c r="H25" s="30">
        <v>0.75231087207794189</v>
      </c>
      <c r="I25" s="37">
        <f t="shared" si="10"/>
        <v>0</v>
      </c>
      <c r="J25" s="37">
        <f t="shared" si="11"/>
        <v>0</v>
      </c>
      <c r="K25" s="84"/>
      <c r="L25" s="71"/>
      <c r="M25" s="87"/>
      <c r="N25" s="47"/>
      <c r="O25" s="47"/>
      <c r="P25" s="47"/>
      <c r="Q25" s="54">
        <f t="shared" ref="Q25" si="65">MIN($B25,_xlfn.XLOOKUP($A25,agnos,tope_base)*UF)*12*I25*$X$2</f>
        <v>0</v>
      </c>
      <c r="R25" s="54">
        <f t="shared" ref="R25" si="66">MIN($B25,_xlfn.XLOOKUP($A25,agnos,tope_base)*UF)*12*J25*$X$2</f>
        <v>0</v>
      </c>
      <c r="S25" s="54">
        <f t="shared" ref="S25" si="67">MIN($B25,_xlfn.XLOOKUP($A25,agnos,tope_base)*UF)*12*I25*$X$2</f>
        <v>0</v>
      </c>
      <c r="T25" s="54">
        <f t="shared" ref="T25" si="68">MIN($B25,_xlfn.XLOOKUP($A25,agnos,tope_base)*UF)*12*J25*$X$2</f>
        <v>0</v>
      </c>
      <c r="U25" s="47"/>
      <c r="V25" s="47"/>
      <c r="W25" s="47"/>
      <c r="X25" s="70">
        <f t="shared" si="25"/>
        <v>0</v>
      </c>
      <c r="Y25" s="70">
        <f t="shared" si="26"/>
        <v>0</v>
      </c>
      <c r="Z25" s="70">
        <f t="shared" si="27"/>
        <v>0</v>
      </c>
      <c r="AA25" s="70">
        <f t="shared" si="28"/>
        <v>0</v>
      </c>
      <c r="AG25" s="52">
        <f t="shared" si="15"/>
        <v>0</v>
      </c>
      <c r="AH25" s="52">
        <f t="shared" si="16"/>
        <v>0</v>
      </c>
      <c r="AI25" s="52">
        <f t="shared" si="17"/>
        <v>0</v>
      </c>
      <c r="AJ25" s="52">
        <f t="shared" si="18"/>
        <v>0</v>
      </c>
      <c r="AK25" s="30"/>
      <c r="AL25" s="30"/>
      <c r="AM25" s="30"/>
      <c r="AN25" s="30"/>
      <c r="AO25" s="30"/>
      <c r="AP25" s="30"/>
      <c r="AS25" s="39"/>
      <c r="AT25" s="47"/>
      <c r="AU25" s="47"/>
      <c r="AV25" s="52">
        <f t="shared" si="19"/>
        <v>0</v>
      </c>
      <c r="AW25" s="52">
        <f t="shared" si="20"/>
        <v>0</v>
      </c>
      <c r="AX25" s="39"/>
      <c r="AY25" s="39"/>
    </row>
    <row r="26" spans="1:51" x14ac:dyDescent="0.25">
      <c r="A26" s="30">
        <v>1991</v>
      </c>
      <c r="B26" s="33">
        <f>w_uf*UF*Parámetros!C13</f>
        <v>401198.74425541307</v>
      </c>
      <c r="C26" s="30">
        <f t="shared" ref="C26" si="69">IF(AND(A26-a_nac&lt;=110,A26-a_nac&gt;0),A26-a_nac,"")</f>
        <v>12</v>
      </c>
      <c r="D26" s="30">
        <f>((A26=Inputs!$C$12)*(Inputs!$D$12) + (A26=Inputs!$C$13)*(Inputs!$D$13) + (A26=Inputs!$C$14)*(Inputs!$D$14)) *(A26 &gt;= a_afil)*(A26&gt;=2024)</f>
        <v>0</v>
      </c>
      <c r="E26" s="30">
        <v>0</v>
      </c>
      <c r="F26" s="30">
        <f t="shared" si="8"/>
        <v>0</v>
      </c>
      <c r="G26" s="30">
        <f t="shared" si="9"/>
        <v>0</v>
      </c>
      <c r="H26" s="30">
        <v>0.39893227815628052</v>
      </c>
      <c r="I26" s="37">
        <f t="shared" si="10"/>
        <v>0</v>
      </c>
      <c r="J26" s="37">
        <f t="shared" si="11"/>
        <v>0</v>
      </c>
      <c r="K26" s="84"/>
      <c r="L26" s="71"/>
      <c r="M26" s="87"/>
      <c r="N26" s="47"/>
      <c r="O26" s="47"/>
      <c r="P26" s="47"/>
      <c r="Q26" s="54">
        <f t="shared" ref="Q26" si="70">MIN($B26,_xlfn.XLOOKUP($A26,agnos,tope_base)*UF)*12*I26*$X$2</f>
        <v>0</v>
      </c>
      <c r="R26" s="54">
        <f t="shared" ref="R26" si="71">MIN($B26,_xlfn.XLOOKUP($A26,agnos,tope_base)*UF)*12*J26*$X$2</f>
        <v>0</v>
      </c>
      <c r="S26" s="54">
        <f t="shared" ref="S26" si="72">MIN($B26,_xlfn.XLOOKUP($A26,agnos,tope_base)*UF)*12*I26*$X$2</f>
        <v>0</v>
      </c>
      <c r="T26" s="54">
        <f t="shared" ref="T26" si="73">MIN($B26,_xlfn.XLOOKUP($A26,agnos,tope_base)*UF)*12*J26*$X$2</f>
        <v>0</v>
      </c>
      <c r="U26" s="47"/>
      <c r="V26" s="47"/>
      <c r="W26" s="47"/>
      <c r="X26" s="70">
        <f t="shared" si="25"/>
        <v>0</v>
      </c>
      <c r="Y26" s="70">
        <f t="shared" si="26"/>
        <v>0</v>
      </c>
      <c r="Z26" s="70">
        <f t="shared" si="27"/>
        <v>0</v>
      </c>
      <c r="AA26" s="70">
        <f t="shared" si="28"/>
        <v>0</v>
      </c>
      <c r="AG26" s="52">
        <f t="shared" si="15"/>
        <v>0</v>
      </c>
      <c r="AH26" s="52">
        <f t="shared" si="16"/>
        <v>0</v>
      </c>
      <c r="AI26" s="52">
        <f t="shared" si="17"/>
        <v>0</v>
      </c>
      <c r="AJ26" s="52">
        <f t="shared" si="18"/>
        <v>0</v>
      </c>
      <c r="AK26" s="30"/>
      <c r="AL26" s="30"/>
      <c r="AM26" s="30"/>
      <c r="AN26" s="30"/>
      <c r="AO26" s="30"/>
      <c r="AP26" s="30"/>
      <c r="AS26" s="39"/>
      <c r="AT26" s="47"/>
      <c r="AU26" s="47"/>
      <c r="AV26" s="52">
        <f t="shared" si="19"/>
        <v>0</v>
      </c>
      <c r="AW26" s="52">
        <f t="shared" si="20"/>
        <v>0</v>
      </c>
      <c r="AX26" s="39"/>
      <c r="AY26" s="39"/>
    </row>
    <row r="27" spans="1:51" x14ac:dyDescent="0.25">
      <c r="A27" s="30">
        <v>1992</v>
      </c>
      <c r="B27" s="33">
        <f>w_uf*UF*Parámetros!C14</f>
        <v>418002.87828180124</v>
      </c>
      <c r="C27" s="30">
        <f t="shared" ref="C27" si="74">IF(AND(A27-a_nac&lt;=110,A27-a_nac&gt;0),A27-a_nac,"")</f>
        <v>13</v>
      </c>
      <c r="D27" s="30">
        <f>((A27=Inputs!$C$12)*(Inputs!$D$12) + (A27=Inputs!$C$13)*(Inputs!$D$13) + (A27=Inputs!$C$14)*(Inputs!$D$14)) *(A27 &gt;= a_afil)*(A27&gt;=2024)</f>
        <v>0</v>
      </c>
      <c r="E27" s="30">
        <v>0</v>
      </c>
      <c r="F27" s="30">
        <f t="shared" si="8"/>
        <v>0</v>
      </c>
      <c r="G27" s="30">
        <f t="shared" si="9"/>
        <v>0</v>
      </c>
      <c r="H27" s="30">
        <v>0.90309882164001465</v>
      </c>
      <c r="I27" s="37">
        <f t="shared" si="10"/>
        <v>0</v>
      </c>
      <c r="J27" s="37">
        <f t="shared" si="11"/>
        <v>0</v>
      </c>
      <c r="K27" s="84"/>
      <c r="L27" s="71"/>
      <c r="M27" s="87"/>
      <c r="N27" s="47"/>
      <c r="O27" s="47"/>
      <c r="P27" s="47"/>
      <c r="Q27" s="54">
        <f t="shared" ref="Q27" si="75">MIN($B27,_xlfn.XLOOKUP($A27,agnos,tope_base)*UF)*12*I27*$X$2</f>
        <v>0</v>
      </c>
      <c r="R27" s="54">
        <f t="shared" ref="R27" si="76">MIN($B27,_xlfn.XLOOKUP($A27,agnos,tope_base)*UF)*12*J27*$X$2</f>
        <v>0</v>
      </c>
      <c r="S27" s="54">
        <f t="shared" ref="S27" si="77">MIN($B27,_xlfn.XLOOKUP($A27,agnos,tope_base)*UF)*12*I27*$X$2</f>
        <v>0</v>
      </c>
      <c r="T27" s="54">
        <f t="shared" ref="T27" si="78">MIN($B27,_xlfn.XLOOKUP($A27,agnos,tope_base)*UF)*12*J27*$X$2</f>
        <v>0</v>
      </c>
      <c r="U27" s="47"/>
      <c r="V27" s="47"/>
      <c r="W27" s="47"/>
      <c r="X27" s="70">
        <f t="shared" si="25"/>
        <v>0</v>
      </c>
      <c r="Y27" s="70">
        <f t="shared" si="26"/>
        <v>0</v>
      </c>
      <c r="Z27" s="70">
        <f t="shared" si="27"/>
        <v>0</v>
      </c>
      <c r="AA27" s="70">
        <f t="shared" si="28"/>
        <v>0</v>
      </c>
      <c r="AG27" s="52">
        <f t="shared" si="15"/>
        <v>0</v>
      </c>
      <c r="AH27" s="52">
        <f t="shared" si="16"/>
        <v>0</v>
      </c>
      <c r="AI27" s="52">
        <f t="shared" si="17"/>
        <v>0</v>
      </c>
      <c r="AJ27" s="52">
        <f t="shared" si="18"/>
        <v>0</v>
      </c>
      <c r="AK27" s="30"/>
      <c r="AL27" s="30"/>
      <c r="AM27" s="30"/>
      <c r="AN27" s="30"/>
      <c r="AO27" s="30"/>
      <c r="AP27" s="30"/>
      <c r="AS27" s="39"/>
      <c r="AT27" s="47"/>
      <c r="AU27" s="47"/>
      <c r="AV27" s="52">
        <f t="shared" si="19"/>
        <v>0</v>
      </c>
      <c r="AW27" s="52">
        <f t="shared" si="20"/>
        <v>0</v>
      </c>
      <c r="AX27" s="39"/>
      <c r="AY27" s="39"/>
    </row>
    <row r="28" spans="1:51" x14ac:dyDescent="0.25">
      <c r="A28" s="30">
        <v>1993</v>
      </c>
      <c r="B28" s="33">
        <f>w_uf*UF*Parámetros!C15</f>
        <v>435209.71654134156</v>
      </c>
      <c r="C28" s="30">
        <f t="shared" ref="C28" si="79">IF(AND(A28-a_nac&lt;=110,A28-a_nac&gt;0),A28-a_nac,"")</f>
        <v>14</v>
      </c>
      <c r="D28" s="30">
        <f>((A28=Inputs!$C$12)*(Inputs!$D$12) + (A28=Inputs!$C$13)*(Inputs!$D$13) + (A28=Inputs!$C$14)*(Inputs!$D$14)) *(A28 &gt;= a_afil)*(A28&gt;=2024)</f>
        <v>0</v>
      </c>
      <c r="E28" s="30">
        <v>0</v>
      </c>
      <c r="F28" s="30">
        <f t="shared" si="8"/>
        <v>0</v>
      </c>
      <c r="G28" s="30">
        <f t="shared" si="9"/>
        <v>0</v>
      </c>
      <c r="H28" s="30">
        <v>0.74600690603256226</v>
      </c>
      <c r="I28" s="37">
        <f t="shared" si="10"/>
        <v>0</v>
      </c>
      <c r="J28" s="37">
        <f t="shared" si="11"/>
        <v>0</v>
      </c>
      <c r="K28" s="84"/>
      <c r="L28" s="71"/>
      <c r="M28" s="87"/>
      <c r="N28" s="47"/>
      <c r="O28" s="47"/>
      <c r="P28" s="47"/>
      <c r="Q28" s="54">
        <f t="shared" ref="Q28" si="80">MIN($B28,_xlfn.XLOOKUP($A28,agnos,tope_base)*UF)*12*I28*$X$2</f>
        <v>0</v>
      </c>
      <c r="R28" s="54">
        <f t="shared" ref="R28" si="81">MIN($B28,_xlfn.XLOOKUP($A28,agnos,tope_base)*UF)*12*J28*$X$2</f>
        <v>0</v>
      </c>
      <c r="S28" s="54">
        <f t="shared" ref="S28" si="82">MIN($B28,_xlfn.XLOOKUP($A28,agnos,tope_base)*UF)*12*I28*$X$2</f>
        <v>0</v>
      </c>
      <c r="T28" s="54">
        <f t="shared" ref="T28" si="83">MIN($B28,_xlfn.XLOOKUP($A28,agnos,tope_base)*UF)*12*J28*$X$2</f>
        <v>0</v>
      </c>
      <c r="U28" s="47"/>
      <c r="V28" s="47"/>
      <c r="W28" s="47"/>
      <c r="X28" s="70">
        <f t="shared" si="25"/>
        <v>0</v>
      </c>
      <c r="Y28" s="70">
        <f t="shared" si="26"/>
        <v>0</v>
      </c>
      <c r="Z28" s="70">
        <f t="shared" si="27"/>
        <v>0</v>
      </c>
      <c r="AA28" s="70">
        <f t="shared" si="28"/>
        <v>0</v>
      </c>
      <c r="AG28" s="52">
        <f t="shared" si="15"/>
        <v>0</v>
      </c>
      <c r="AH28" s="52">
        <f t="shared" si="16"/>
        <v>0</v>
      </c>
      <c r="AI28" s="52">
        <f t="shared" si="17"/>
        <v>0</v>
      </c>
      <c r="AJ28" s="52">
        <f t="shared" si="18"/>
        <v>0</v>
      </c>
      <c r="AK28" s="30"/>
      <c r="AL28" s="30"/>
      <c r="AM28" s="30"/>
      <c r="AN28" s="30"/>
      <c r="AO28" s="30"/>
      <c r="AP28" s="30"/>
      <c r="AS28" s="39"/>
      <c r="AT28" s="47"/>
      <c r="AU28" s="47"/>
      <c r="AV28" s="52">
        <f t="shared" si="19"/>
        <v>0</v>
      </c>
      <c r="AW28" s="52">
        <f t="shared" si="20"/>
        <v>0</v>
      </c>
      <c r="AX28" s="39"/>
      <c r="AY28" s="39"/>
    </row>
    <row r="29" spans="1:51" x14ac:dyDescent="0.25">
      <c r="A29" s="30">
        <v>1994</v>
      </c>
      <c r="B29" s="33">
        <f>w_uf*UF*Parámetros!C16</f>
        <v>450251.23358828295</v>
      </c>
      <c r="C29" s="30">
        <f t="shared" ref="C29" si="84">IF(AND(A29-a_nac&lt;=110,A29-a_nac&gt;0),A29-a_nac,"")</f>
        <v>15</v>
      </c>
      <c r="D29" s="30">
        <f>((A29=Inputs!$C$12)*(Inputs!$D$12) + (A29=Inputs!$C$13)*(Inputs!$D$13) + (A29=Inputs!$C$14)*(Inputs!$D$14)) *(A29 &gt;= a_afil)*(A29&gt;=2024)</f>
        <v>0</v>
      </c>
      <c r="E29" s="30">
        <v>0</v>
      </c>
      <c r="F29" s="30">
        <f t="shared" si="8"/>
        <v>0</v>
      </c>
      <c r="G29" s="30">
        <f t="shared" si="9"/>
        <v>0</v>
      </c>
      <c r="H29" s="30">
        <v>8.8559508323669434E-2</v>
      </c>
      <c r="I29" s="37">
        <f t="shared" si="10"/>
        <v>0</v>
      </c>
      <c r="J29" s="37">
        <f t="shared" si="11"/>
        <v>0</v>
      </c>
      <c r="K29" s="84"/>
      <c r="L29" s="71"/>
      <c r="M29" s="87"/>
      <c r="N29" s="47"/>
      <c r="O29" s="47"/>
      <c r="P29" s="47"/>
      <c r="Q29" s="54">
        <f t="shared" ref="Q29" si="85">MIN($B29,_xlfn.XLOOKUP($A29,agnos,tope_base)*UF)*12*I29*$X$2</f>
        <v>0</v>
      </c>
      <c r="R29" s="54">
        <f t="shared" ref="R29" si="86">MIN($B29,_xlfn.XLOOKUP($A29,agnos,tope_base)*UF)*12*J29*$X$2</f>
        <v>0</v>
      </c>
      <c r="S29" s="54">
        <f t="shared" ref="S29" si="87">MIN($B29,_xlfn.XLOOKUP($A29,agnos,tope_base)*UF)*12*I29*$X$2</f>
        <v>0</v>
      </c>
      <c r="T29" s="54">
        <f t="shared" ref="T29" si="88">MIN($B29,_xlfn.XLOOKUP($A29,agnos,tope_base)*UF)*12*J29*$X$2</f>
        <v>0</v>
      </c>
      <c r="U29" s="47"/>
      <c r="V29" s="47"/>
      <c r="W29" s="47"/>
      <c r="X29" s="70">
        <f t="shared" si="25"/>
        <v>0</v>
      </c>
      <c r="Y29" s="70">
        <f t="shared" si="26"/>
        <v>0</v>
      </c>
      <c r="Z29" s="70">
        <f t="shared" si="27"/>
        <v>0</v>
      </c>
      <c r="AA29" s="70">
        <f t="shared" si="28"/>
        <v>0</v>
      </c>
      <c r="AG29" s="52">
        <f t="shared" si="15"/>
        <v>0</v>
      </c>
      <c r="AH29" s="52">
        <f t="shared" si="16"/>
        <v>0</v>
      </c>
      <c r="AI29" s="52">
        <f t="shared" si="17"/>
        <v>0</v>
      </c>
      <c r="AJ29" s="52">
        <f t="shared" si="18"/>
        <v>0</v>
      </c>
      <c r="AK29" s="30"/>
      <c r="AL29" s="30"/>
      <c r="AM29" s="30"/>
      <c r="AN29" s="30"/>
      <c r="AO29" s="30"/>
      <c r="AP29" s="30"/>
      <c r="AS29" s="39"/>
      <c r="AT29" s="47"/>
      <c r="AU29" s="47"/>
      <c r="AV29" s="52">
        <f t="shared" si="19"/>
        <v>0</v>
      </c>
      <c r="AW29" s="52">
        <f t="shared" si="20"/>
        <v>0</v>
      </c>
      <c r="AX29" s="39"/>
      <c r="AY29" s="39"/>
    </row>
    <row r="30" spans="1:51" x14ac:dyDescent="0.25">
      <c r="A30" s="30">
        <v>1995</v>
      </c>
      <c r="B30" s="33">
        <f>w_uf*UF*Parámetros!C17</f>
        <v>478018.08507792832</v>
      </c>
      <c r="C30" s="30">
        <f t="shared" ref="C30" si="89">IF(AND(A30-a_nac&lt;=110,A30-a_nac&gt;0),A30-a_nac,"")</f>
        <v>16</v>
      </c>
      <c r="D30" s="30">
        <f>((A30=Inputs!$C$12)*(Inputs!$D$12) + (A30=Inputs!$C$13)*(Inputs!$D$13) + (A30=Inputs!$C$14)*(Inputs!$D$14)) *(A30 &gt;= a_afil)*(A30&gt;=2024)</f>
        <v>0</v>
      </c>
      <c r="E30" s="30">
        <v>0</v>
      </c>
      <c r="F30" s="30">
        <f t="shared" si="8"/>
        <v>0</v>
      </c>
      <c r="G30" s="30">
        <f t="shared" si="9"/>
        <v>0</v>
      </c>
      <c r="H30" s="30">
        <v>0.6345711350440979</v>
      </c>
      <c r="I30" s="37">
        <f t="shared" si="10"/>
        <v>0</v>
      </c>
      <c r="J30" s="37">
        <f t="shared" si="11"/>
        <v>0</v>
      </c>
      <c r="K30" s="84"/>
      <c r="L30" s="71"/>
      <c r="M30" s="87"/>
      <c r="N30" s="47"/>
      <c r="O30" s="47"/>
      <c r="P30" s="47"/>
      <c r="Q30" s="54">
        <f t="shared" ref="Q30" si="90">MIN($B30,_xlfn.XLOOKUP($A30,agnos,tope_base)*UF)*12*I30*$X$2</f>
        <v>0</v>
      </c>
      <c r="R30" s="54">
        <f t="shared" ref="R30" si="91">MIN($B30,_xlfn.XLOOKUP($A30,agnos,tope_base)*UF)*12*J30*$X$2</f>
        <v>0</v>
      </c>
      <c r="S30" s="54">
        <f t="shared" ref="S30" si="92">MIN($B30,_xlfn.XLOOKUP($A30,agnos,tope_base)*UF)*12*I30*$X$2</f>
        <v>0</v>
      </c>
      <c r="T30" s="54">
        <f t="shared" ref="T30" si="93">MIN($B30,_xlfn.XLOOKUP($A30,agnos,tope_base)*UF)*12*J30*$X$2</f>
        <v>0</v>
      </c>
      <c r="U30" s="47"/>
      <c r="V30" s="47"/>
      <c r="W30" s="47"/>
      <c r="X30" s="70">
        <f t="shared" si="25"/>
        <v>0</v>
      </c>
      <c r="Y30" s="70">
        <f t="shared" si="26"/>
        <v>0</v>
      </c>
      <c r="Z30" s="70">
        <f t="shared" si="27"/>
        <v>0</v>
      </c>
      <c r="AA30" s="70">
        <f t="shared" si="28"/>
        <v>0</v>
      </c>
      <c r="AG30" s="52">
        <f t="shared" si="15"/>
        <v>0</v>
      </c>
      <c r="AH30" s="52">
        <f t="shared" si="16"/>
        <v>0</v>
      </c>
      <c r="AI30" s="52">
        <f t="shared" si="17"/>
        <v>0</v>
      </c>
      <c r="AJ30" s="52">
        <f t="shared" si="18"/>
        <v>0</v>
      </c>
      <c r="AK30" s="30"/>
      <c r="AL30" s="30"/>
      <c r="AM30" s="30"/>
      <c r="AN30" s="30"/>
      <c r="AO30" s="30"/>
      <c r="AP30" s="30"/>
      <c r="AS30" s="39"/>
      <c r="AT30" s="47"/>
      <c r="AU30" s="47"/>
      <c r="AV30" s="52">
        <f t="shared" si="19"/>
        <v>0</v>
      </c>
      <c r="AW30" s="52">
        <f t="shared" si="20"/>
        <v>0</v>
      </c>
      <c r="AX30" s="39"/>
      <c r="AY30" s="39"/>
    </row>
    <row r="31" spans="1:51" x14ac:dyDescent="0.25">
      <c r="A31" s="30">
        <v>1996</v>
      </c>
      <c r="B31" s="33">
        <f>w_uf*UF*Parámetros!C18</f>
        <v>501097.41534671315</v>
      </c>
      <c r="C31" s="30">
        <f t="shared" ref="C31" si="94">IF(AND(A31-a_nac&lt;=110,A31-a_nac&gt;0),A31-a_nac,"")</f>
        <v>17</v>
      </c>
      <c r="D31" s="30">
        <f>((A31=Inputs!$C$12)*(Inputs!$D$12) + (A31=Inputs!$C$13)*(Inputs!$D$13) + (A31=Inputs!$C$14)*(Inputs!$D$14)) *(A31 &gt;= a_afil)*(A31&gt;=2024)</f>
        <v>0</v>
      </c>
      <c r="E31" s="30">
        <v>0</v>
      </c>
      <c r="F31" s="30">
        <f t="shared" si="8"/>
        <v>0</v>
      </c>
      <c r="G31" s="30">
        <f t="shared" si="9"/>
        <v>0</v>
      </c>
      <c r="H31" s="30">
        <v>0.7130279541015625</v>
      </c>
      <c r="I31" s="37">
        <f t="shared" si="10"/>
        <v>0</v>
      </c>
      <c r="J31" s="37">
        <f t="shared" si="11"/>
        <v>0</v>
      </c>
      <c r="K31" s="84"/>
      <c r="L31" s="71"/>
      <c r="M31" s="87"/>
      <c r="N31" s="47"/>
      <c r="O31" s="47"/>
      <c r="P31" s="47"/>
      <c r="Q31" s="54">
        <f t="shared" ref="Q31" si="95">MIN($B31,_xlfn.XLOOKUP($A31,agnos,tope_base)*UF)*12*I31*$X$2</f>
        <v>0</v>
      </c>
      <c r="R31" s="54">
        <f t="shared" ref="R31" si="96">MIN($B31,_xlfn.XLOOKUP($A31,agnos,tope_base)*UF)*12*J31*$X$2</f>
        <v>0</v>
      </c>
      <c r="S31" s="54">
        <f t="shared" ref="S31" si="97">MIN($B31,_xlfn.XLOOKUP($A31,agnos,tope_base)*UF)*12*I31*$X$2</f>
        <v>0</v>
      </c>
      <c r="T31" s="54">
        <f t="shared" ref="T31" si="98">MIN($B31,_xlfn.XLOOKUP($A31,agnos,tope_base)*UF)*12*J31*$X$2</f>
        <v>0</v>
      </c>
      <c r="U31" s="47"/>
      <c r="V31" s="47"/>
      <c r="W31" s="47"/>
      <c r="X31" s="70">
        <f t="shared" si="25"/>
        <v>0</v>
      </c>
      <c r="Y31" s="70">
        <f t="shared" si="26"/>
        <v>0</v>
      </c>
      <c r="Z31" s="70">
        <f t="shared" si="27"/>
        <v>0</v>
      </c>
      <c r="AA31" s="70">
        <f t="shared" si="28"/>
        <v>0</v>
      </c>
      <c r="AG31" s="52">
        <f t="shared" si="15"/>
        <v>0</v>
      </c>
      <c r="AH31" s="52">
        <f t="shared" si="16"/>
        <v>0</v>
      </c>
      <c r="AI31" s="52">
        <f t="shared" si="17"/>
        <v>0</v>
      </c>
      <c r="AJ31" s="52">
        <f t="shared" si="18"/>
        <v>0</v>
      </c>
      <c r="AK31" s="30"/>
      <c r="AL31" s="30"/>
      <c r="AM31" s="30"/>
      <c r="AN31" s="30"/>
      <c r="AO31" s="30"/>
      <c r="AP31" s="30"/>
      <c r="AS31" s="39"/>
      <c r="AT31" s="47"/>
      <c r="AU31" s="47"/>
      <c r="AV31" s="52">
        <f t="shared" si="19"/>
        <v>0</v>
      </c>
      <c r="AW31" s="52">
        <f t="shared" si="20"/>
        <v>0</v>
      </c>
      <c r="AX31" s="39"/>
      <c r="AY31" s="39"/>
    </row>
    <row r="32" spans="1:51" x14ac:dyDescent="0.25">
      <c r="A32" s="30">
        <v>1997</v>
      </c>
      <c r="B32" s="33">
        <f>w_uf*UF*Parámetros!C19</f>
        <v>521793.55390296044</v>
      </c>
      <c r="C32" s="30">
        <f t="shared" ref="C32" si="99">IF(AND(A32-a_nac&lt;=110,A32-a_nac&gt;0),A32-a_nac,"")</f>
        <v>18</v>
      </c>
      <c r="D32" s="30">
        <f>((A32=Inputs!$C$12)*(Inputs!$D$12) + (A32=Inputs!$C$13)*(Inputs!$D$13) + (A32=Inputs!$C$14)*(Inputs!$D$14)) *(A32 &gt;= a_afil)*(A32&gt;=2024)</f>
        <v>0</v>
      </c>
      <c r="E32" s="30">
        <v>0</v>
      </c>
      <c r="F32" s="30">
        <f t="shared" si="8"/>
        <v>0</v>
      </c>
      <c r="G32" s="30">
        <f t="shared" si="9"/>
        <v>0</v>
      </c>
      <c r="H32" s="30">
        <v>1.5682399272918701E-2</v>
      </c>
      <c r="I32" s="37">
        <f t="shared" si="10"/>
        <v>0</v>
      </c>
      <c r="J32" s="37">
        <f t="shared" si="11"/>
        <v>0</v>
      </c>
      <c r="K32" s="84"/>
      <c r="L32" s="71"/>
      <c r="M32" s="87"/>
      <c r="N32" s="47"/>
      <c r="O32" s="47"/>
      <c r="P32" s="47"/>
      <c r="Q32" s="54">
        <f t="shared" ref="Q32" si="100">MIN($B32,_xlfn.XLOOKUP($A32,agnos,tope_base)*UF)*12*I32*$X$2</f>
        <v>0</v>
      </c>
      <c r="R32" s="54">
        <f t="shared" ref="R32" si="101">MIN($B32,_xlfn.XLOOKUP($A32,agnos,tope_base)*UF)*12*J32*$X$2</f>
        <v>0</v>
      </c>
      <c r="S32" s="54">
        <f t="shared" ref="S32" si="102">MIN($B32,_xlfn.XLOOKUP($A32,agnos,tope_base)*UF)*12*I32*$X$2</f>
        <v>0</v>
      </c>
      <c r="T32" s="54">
        <f t="shared" ref="T32" si="103">MIN($B32,_xlfn.XLOOKUP($A32,agnos,tope_base)*UF)*12*J32*$X$2</f>
        <v>0</v>
      </c>
      <c r="U32" s="47"/>
      <c r="V32" s="47"/>
      <c r="W32" s="47"/>
      <c r="X32" s="70">
        <f t="shared" si="25"/>
        <v>0</v>
      </c>
      <c r="Y32" s="70">
        <f t="shared" si="26"/>
        <v>0</v>
      </c>
      <c r="Z32" s="70">
        <f t="shared" si="27"/>
        <v>0</v>
      </c>
      <c r="AA32" s="70">
        <f t="shared" si="28"/>
        <v>0</v>
      </c>
      <c r="AG32" s="52">
        <f t="shared" si="15"/>
        <v>0</v>
      </c>
      <c r="AH32" s="52">
        <f t="shared" si="16"/>
        <v>0</v>
      </c>
      <c r="AI32" s="52">
        <f t="shared" si="17"/>
        <v>0</v>
      </c>
      <c r="AJ32" s="52">
        <f t="shared" si="18"/>
        <v>0</v>
      </c>
      <c r="AK32" s="30"/>
      <c r="AL32" s="30"/>
      <c r="AM32" s="30"/>
      <c r="AN32" s="30"/>
      <c r="AO32" s="30"/>
      <c r="AP32" s="30"/>
      <c r="AS32" s="39"/>
      <c r="AT32" s="47"/>
      <c r="AU32" s="47"/>
      <c r="AV32" s="52">
        <f t="shared" si="19"/>
        <v>0</v>
      </c>
      <c r="AW32" s="52">
        <f t="shared" si="20"/>
        <v>0</v>
      </c>
      <c r="AX32" s="39"/>
      <c r="AY32" s="39"/>
    </row>
    <row r="33" spans="1:51" x14ac:dyDescent="0.25">
      <c r="A33" s="30">
        <v>1998</v>
      </c>
      <c r="B33" s="33">
        <f>w_uf*UF*Parámetros!C20</f>
        <v>534336.66817947384</v>
      </c>
      <c r="C33" s="30">
        <f t="shared" ref="C33" si="104">IF(AND(A33-a_nac&lt;=110,A33-a_nac&gt;0),A33-a_nac,"")</f>
        <v>19</v>
      </c>
      <c r="D33" s="30">
        <f>((A33=Inputs!$C$12)*(Inputs!$D$12) + (A33=Inputs!$C$13)*(Inputs!$D$13) + (A33=Inputs!$C$14)*(Inputs!$D$14)) *(A33 &gt;= a_afil)*(A33&gt;=2024)</f>
        <v>0</v>
      </c>
      <c r="E33" s="30">
        <v>0</v>
      </c>
      <c r="F33" s="30">
        <f t="shared" si="8"/>
        <v>0</v>
      </c>
      <c r="G33" s="30">
        <f t="shared" si="9"/>
        <v>0</v>
      </c>
      <c r="H33" s="30">
        <v>0.4311443567276001</v>
      </c>
      <c r="I33" s="37">
        <f t="shared" si="10"/>
        <v>0</v>
      </c>
      <c r="J33" s="37">
        <f t="shared" si="11"/>
        <v>0</v>
      </c>
      <c r="K33" s="84"/>
      <c r="L33" s="71"/>
      <c r="M33" s="87"/>
      <c r="N33" s="47"/>
      <c r="O33" s="47"/>
      <c r="P33" s="47"/>
      <c r="Q33" s="54">
        <f t="shared" ref="Q33" si="105">MIN($B33,_xlfn.XLOOKUP($A33,agnos,tope_base)*UF)*12*I33*$X$2</f>
        <v>0</v>
      </c>
      <c r="R33" s="54">
        <f t="shared" ref="R33" si="106">MIN($B33,_xlfn.XLOOKUP($A33,agnos,tope_base)*UF)*12*J33*$X$2</f>
        <v>0</v>
      </c>
      <c r="S33" s="54">
        <f t="shared" ref="S33" si="107">MIN($B33,_xlfn.XLOOKUP($A33,agnos,tope_base)*UF)*12*I33*$X$2</f>
        <v>0</v>
      </c>
      <c r="T33" s="54">
        <f t="shared" ref="T33" si="108">MIN($B33,_xlfn.XLOOKUP($A33,agnos,tope_base)*UF)*12*J33*$X$2</f>
        <v>0</v>
      </c>
      <c r="U33" s="47"/>
      <c r="V33" s="47"/>
      <c r="W33" s="47"/>
      <c r="X33" s="70">
        <f t="shared" si="25"/>
        <v>0</v>
      </c>
      <c r="Y33" s="70">
        <f t="shared" si="26"/>
        <v>0</v>
      </c>
      <c r="Z33" s="70">
        <f t="shared" si="27"/>
        <v>0</v>
      </c>
      <c r="AA33" s="70">
        <f t="shared" si="28"/>
        <v>0</v>
      </c>
      <c r="AG33" s="52">
        <f t="shared" si="15"/>
        <v>0</v>
      </c>
      <c r="AH33" s="52">
        <f t="shared" si="16"/>
        <v>0</v>
      </c>
      <c r="AI33" s="52">
        <f t="shared" si="17"/>
        <v>0</v>
      </c>
      <c r="AJ33" s="52">
        <f t="shared" si="18"/>
        <v>0</v>
      </c>
      <c r="AK33" s="30"/>
      <c r="AL33" s="30"/>
      <c r="AM33" s="30"/>
      <c r="AN33" s="30"/>
      <c r="AO33" s="30"/>
      <c r="AP33" s="30"/>
      <c r="AS33" s="39"/>
      <c r="AT33" s="47"/>
      <c r="AU33" s="47"/>
      <c r="AV33" s="52">
        <f t="shared" si="19"/>
        <v>0</v>
      </c>
      <c r="AW33" s="52">
        <f t="shared" si="20"/>
        <v>0</v>
      </c>
      <c r="AX33" s="39"/>
      <c r="AY33" s="39"/>
    </row>
    <row r="34" spans="1:51" x14ac:dyDescent="0.25">
      <c r="A34" s="30">
        <v>1999</v>
      </c>
      <c r="B34" s="33">
        <f>w_uf*UF*Parámetros!C21</f>
        <v>548510.38731193403</v>
      </c>
      <c r="C34" s="30">
        <f t="shared" ref="C34" si="109">IF(AND(A34-a_nac&lt;=110,A34-a_nac&gt;0),A34-a_nac,"")</f>
        <v>20</v>
      </c>
      <c r="D34" s="30">
        <f>((A34=Inputs!$C$12)*(Inputs!$D$12) + (A34=Inputs!$C$13)*(Inputs!$D$13) + (A34=Inputs!$C$14)*(Inputs!$D$14)) *(A34 &gt;= a_afil)*(A34&gt;=2024)</f>
        <v>0</v>
      </c>
      <c r="E34" s="30">
        <v>0</v>
      </c>
      <c r="F34" s="30">
        <f t="shared" si="8"/>
        <v>0</v>
      </c>
      <c r="G34" s="30">
        <f t="shared" si="9"/>
        <v>0</v>
      </c>
      <c r="H34" s="30">
        <v>0.40198260545730591</v>
      </c>
      <c r="I34" s="37">
        <f t="shared" si="10"/>
        <v>0</v>
      </c>
      <c r="J34" s="37">
        <f t="shared" si="11"/>
        <v>0</v>
      </c>
      <c r="K34" s="84"/>
      <c r="L34" s="71"/>
      <c r="M34" s="87"/>
      <c r="N34" s="47"/>
      <c r="O34" s="47"/>
      <c r="P34" s="47"/>
      <c r="Q34" s="54">
        <f t="shared" ref="Q34" si="110">MIN($B34,_xlfn.XLOOKUP($A34,agnos,tope_base)*UF)*12*I34*$X$2</f>
        <v>0</v>
      </c>
      <c r="R34" s="54">
        <f t="shared" ref="R34" si="111">MIN($B34,_xlfn.XLOOKUP($A34,agnos,tope_base)*UF)*12*J34*$X$2</f>
        <v>0</v>
      </c>
      <c r="S34" s="54">
        <f t="shared" ref="S34" si="112">MIN($B34,_xlfn.XLOOKUP($A34,agnos,tope_base)*UF)*12*I34*$X$2</f>
        <v>0</v>
      </c>
      <c r="T34" s="54">
        <f t="shared" ref="T34" si="113">MIN($B34,_xlfn.XLOOKUP($A34,agnos,tope_base)*UF)*12*J34*$X$2</f>
        <v>0</v>
      </c>
      <c r="U34" s="47"/>
      <c r="V34" s="47"/>
      <c r="W34" s="47"/>
      <c r="X34" s="70">
        <f t="shared" si="25"/>
        <v>0</v>
      </c>
      <c r="Y34" s="70">
        <f t="shared" si="26"/>
        <v>0</v>
      </c>
      <c r="Z34" s="70">
        <f t="shared" si="27"/>
        <v>0</v>
      </c>
      <c r="AA34" s="70">
        <f t="shared" si="28"/>
        <v>0</v>
      </c>
      <c r="AG34" s="52">
        <f t="shared" si="15"/>
        <v>0</v>
      </c>
      <c r="AH34" s="52">
        <f t="shared" si="16"/>
        <v>0</v>
      </c>
      <c r="AI34" s="52">
        <f t="shared" si="17"/>
        <v>0</v>
      </c>
      <c r="AJ34" s="52">
        <f t="shared" si="18"/>
        <v>0</v>
      </c>
      <c r="AK34" s="30"/>
      <c r="AL34" s="30"/>
      <c r="AM34" s="30"/>
      <c r="AN34" s="30"/>
      <c r="AO34" s="30"/>
      <c r="AP34" s="30"/>
      <c r="AS34" s="39"/>
      <c r="AT34" s="47"/>
      <c r="AU34" s="47"/>
      <c r="AV34" s="52">
        <f t="shared" si="19"/>
        <v>0</v>
      </c>
      <c r="AW34" s="52">
        <f t="shared" si="20"/>
        <v>0</v>
      </c>
      <c r="AX34" s="39"/>
      <c r="AY34" s="39"/>
    </row>
    <row r="35" spans="1:51" x14ac:dyDescent="0.25">
      <c r="A35" s="30">
        <v>2000</v>
      </c>
      <c r="B35" s="33">
        <f>w_uf*UF*Parámetros!C22</f>
        <v>561868.80401642085</v>
      </c>
      <c r="C35" s="30">
        <f t="shared" ref="C35" si="114">IF(AND(A35-a_nac&lt;=110,A35-a_nac&gt;0),A35-a_nac,"")</f>
        <v>21</v>
      </c>
      <c r="D35" s="30">
        <f>((A35=Inputs!$C$12)*(Inputs!$D$12) + (A35=Inputs!$C$13)*(Inputs!$D$13) + (A35=Inputs!$C$14)*(Inputs!$D$14)) *(A35 &gt;= a_afil)*(A35&gt;=2024)</f>
        <v>0</v>
      </c>
      <c r="E35" s="30">
        <v>0</v>
      </c>
      <c r="F35" s="30">
        <f t="shared" si="8"/>
        <v>0</v>
      </c>
      <c r="G35" s="30">
        <f t="shared" si="9"/>
        <v>0</v>
      </c>
      <c r="H35" s="30">
        <v>0.27529549598693848</v>
      </c>
      <c r="I35" s="37">
        <f t="shared" si="10"/>
        <v>0</v>
      </c>
      <c r="J35" s="37">
        <f t="shared" si="11"/>
        <v>0</v>
      </c>
      <c r="K35" s="84"/>
      <c r="L35" s="71"/>
      <c r="M35" s="87"/>
      <c r="N35" s="47"/>
      <c r="O35" s="47"/>
      <c r="P35" s="47"/>
      <c r="Q35" s="54">
        <f t="shared" ref="Q35" si="115">MIN($B35,_xlfn.XLOOKUP($A35,agnos,tope_base)*UF)*12*I35*$X$2</f>
        <v>0</v>
      </c>
      <c r="R35" s="54">
        <f t="shared" ref="R35" si="116">MIN($B35,_xlfn.XLOOKUP($A35,agnos,tope_base)*UF)*12*J35*$X$2</f>
        <v>0</v>
      </c>
      <c r="S35" s="54">
        <f t="shared" ref="S35" si="117">MIN($B35,_xlfn.XLOOKUP($A35,agnos,tope_base)*UF)*12*I35*$X$2</f>
        <v>0</v>
      </c>
      <c r="T35" s="54">
        <f t="shared" ref="T35" si="118">MIN($B35,_xlfn.XLOOKUP($A35,agnos,tope_base)*UF)*12*J35*$X$2</f>
        <v>0</v>
      </c>
      <c r="U35" s="47"/>
      <c r="V35" s="47"/>
      <c r="W35" s="47"/>
      <c r="X35" s="70">
        <f t="shared" si="25"/>
        <v>0</v>
      </c>
      <c r="Y35" s="70">
        <f t="shared" si="26"/>
        <v>0</v>
      </c>
      <c r="Z35" s="70">
        <f t="shared" si="27"/>
        <v>0</v>
      </c>
      <c r="AA35" s="70">
        <f t="shared" si="28"/>
        <v>0</v>
      </c>
      <c r="AG35" s="52">
        <f t="shared" si="15"/>
        <v>0</v>
      </c>
      <c r="AH35" s="52">
        <f t="shared" si="16"/>
        <v>0</v>
      </c>
      <c r="AI35" s="52">
        <f t="shared" si="17"/>
        <v>0</v>
      </c>
      <c r="AJ35" s="52">
        <f t="shared" si="18"/>
        <v>0</v>
      </c>
      <c r="AK35" s="30"/>
      <c r="AL35" s="30"/>
      <c r="AM35" s="30"/>
      <c r="AN35" s="30"/>
      <c r="AO35" s="30"/>
      <c r="AP35" s="30"/>
      <c r="AS35" s="39"/>
      <c r="AT35" s="47"/>
      <c r="AU35" s="47"/>
      <c r="AV35" s="52">
        <f t="shared" si="19"/>
        <v>0</v>
      </c>
      <c r="AW35" s="52">
        <f t="shared" si="20"/>
        <v>0</v>
      </c>
      <c r="AX35" s="39"/>
      <c r="AY35" s="39"/>
    </row>
    <row r="36" spans="1:51" x14ac:dyDescent="0.25">
      <c r="A36" s="30">
        <v>2001</v>
      </c>
      <c r="B36" s="33">
        <f>w_uf*UF*Parámetros!C23</f>
        <v>569645.53486785921</v>
      </c>
      <c r="C36" s="30">
        <f t="shared" ref="C36" si="119">IF(AND(A36-a_nac&lt;=110,A36-a_nac&gt;0),A36-a_nac,"")</f>
        <v>22</v>
      </c>
      <c r="D36" s="30">
        <f>((A36=Inputs!$C$12)*(Inputs!$D$12) + (A36=Inputs!$C$13)*(Inputs!$D$13) + (A36=Inputs!$C$14)*(Inputs!$D$14)) *(A36 &gt;= a_afil)*(A36&gt;=2024)</f>
        <v>0</v>
      </c>
      <c r="E36" s="30">
        <v>0</v>
      </c>
      <c r="F36" s="30">
        <f t="shared" si="8"/>
        <v>0</v>
      </c>
      <c r="G36" s="30">
        <f t="shared" si="9"/>
        <v>0</v>
      </c>
      <c r="H36" s="30">
        <v>0.98537391424179077</v>
      </c>
      <c r="I36" s="37">
        <f t="shared" si="10"/>
        <v>0</v>
      </c>
      <c r="J36" s="37">
        <f t="shared" si="11"/>
        <v>0</v>
      </c>
      <c r="K36" s="84"/>
      <c r="L36" s="71"/>
      <c r="M36" s="87"/>
      <c r="N36" s="47"/>
      <c r="O36" s="47"/>
      <c r="P36" s="47"/>
      <c r="Q36" s="54">
        <f t="shared" ref="Q36" si="120">MIN($B36,_xlfn.XLOOKUP($A36,agnos,tope_base)*UF)*12*I36*$X$2</f>
        <v>0</v>
      </c>
      <c r="R36" s="54">
        <f t="shared" ref="R36" si="121">MIN($B36,_xlfn.XLOOKUP($A36,agnos,tope_base)*UF)*12*J36*$X$2</f>
        <v>0</v>
      </c>
      <c r="S36" s="54">
        <f t="shared" ref="S36" si="122">MIN($B36,_xlfn.XLOOKUP($A36,agnos,tope_base)*UF)*12*I36*$X$2</f>
        <v>0</v>
      </c>
      <c r="T36" s="54">
        <f t="shared" ref="T36" si="123">MIN($B36,_xlfn.XLOOKUP($A36,agnos,tope_base)*UF)*12*J36*$X$2</f>
        <v>0</v>
      </c>
      <c r="U36" s="47"/>
      <c r="V36" s="47"/>
      <c r="W36" s="47"/>
      <c r="X36" s="70">
        <f t="shared" si="25"/>
        <v>0</v>
      </c>
      <c r="Y36" s="70">
        <f t="shared" si="26"/>
        <v>0</v>
      </c>
      <c r="Z36" s="70">
        <f t="shared" si="27"/>
        <v>0</v>
      </c>
      <c r="AA36" s="70">
        <f t="shared" si="28"/>
        <v>0</v>
      </c>
      <c r="AG36" s="52">
        <f t="shared" si="15"/>
        <v>0</v>
      </c>
      <c r="AH36" s="52">
        <f t="shared" si="16"/>
        <v>0</v>
      </c>
      <c r="AI36" s="52">
        <f t="shared" si="17"/>
        <v>0</v>
      </c>
      <c r="AJ36" s="52">
        <f t="shared" si="18"/>
        <v>0</v>
      </c>
      <c r="AK36" s="30"/>
      <c r="AL36" s="30"/>
      <c r="AM36" s="30"/>
      <c r="AN36" s="30"/>
      <c r="AO36" s="30"/>
      <c r="AP36" s="30"/>
      <c r="AS36" s="39"/>
      <c r="AT36" s="47"/>
      <c r="AU36" s="47"/>
      <c r="AV36" s="52">
        <f t="shared" si="19"/>
        <v>0</v>
      </c>
      <c r="AW36" s="52">
        <f t="shared" si="20"/>
        <v>0</v>
      </c>
      <c r="AX36" s="39"/>
      <c r="AY36" s="39"/>
    </row>
    <row r="37" spans="1:51" x14ac:dyDescent="0.25">
      <c r="A37" s="30">
        <v>2002</v>
      </c>
      <c r="B37" s="33">
        <f>w_uf*UF*Parámetros!C24</f>
        <v>578864.72386109654</v>
      </c>
      <c r="C37" s="30">
        <f t="shared" ref="C37" si="124">IF(AND(A37-a_nac&lt;=110,A37-a_nac&gt;0),A37-a_nac,"")</f>
        <v>23</v>
      </c>
      <c r="D37" s="30">
        <f>((A37=Inputs!$C$12)*(Inputs!$D$12) + (A37=Inputs!$C$13)*(Inputs!$D$13) + (A37=Inputs!$C$14)*(Inputs!$D$14)) *(A37 &gt;= a_afil)*(A37&gt;=2024)</f>
        <v>0</v>
      </c>
      <c r="E37" s="30">
        <v>0</v>
      </c>
      <c r="F37" s="30">
        <f t="shared" si="8"/>
        <v>0</v>
      </c>
      <c r="G37" s="30">
        <f t="shared" si="9"/>
        <v>0</v>
      </c>
      <c r="H37" s="30">
        <v>0.80258738994598389</v>
      </c>
      <c r="I37" s="37">
        <f t="shared" si="10"/>
        <v>0</v>
      </c>
      <c r="J37" s="37">
        <f t="shared" si="11"/>
        <v>0</v>
      </c>
      <c r="K37" s="84"/>
      <c r="L37" s="71"/>
      <c r="M37" s="87"/>
      <c r="N37" s="47"/>
      <c r="O37" s="47"/>
      <c r="P37" s="47"/>
      <c r="Q37" s="54">
        <f t="shared" ref="Q37" si="125">MIN($B37,_xlfn.XLOOKUP($A37,agnos,tope_base)*UF)*12*I37*$X$2</f>
        <v>0</v>
      </c>
      <c r="R37" s="54">
        <f t="shared" ref="R37" si="126">MIN($B37,_xlfn.XLOOKUP($A37,agnos,tope_base)*UF)*12*J37*$X$2</f>
        <v>0</v>
      </c>
      <c r="S37" s="54">
        <f t="shared" ref="S37" si="127">MIN($B37,_xlfn.XLOOKUP($A37,agnos,tope_base)*UF)*12*I37*$X$2</f>
        <v>0</v>
      </c>
      <c r="T37" s="54">
        <f t="shared" ref="T37" si="128">MIN($B37,_xlfn.XLOOKUP($A37,agnos,tope_base)*UF)*12*J37*$X$2</f>
        <v>0</v>
      </c>
      <c r="U37" s="47"/>
      <c r="V37" s="47"/>
      <c r="W37" s="47"/>
      <c r="X37" s="70">
        <f t="shared" si="25"/>
        <v>0</v>
      </c>
      <c r="Y37" s="70">
        <f t="shared" si="26"/>
        <v>0</v>
      </c>
      <c r="Z37" s="70">
        <f t="shared" si="27"/>
        <v>0</v>
      </c>
      <c r="AA37" s="70">
        <f t="shared" si="28"/>
        <v>0</v>
      </c>
      <c r="AG37" s="52">
        <f t="shared" si="15"/>
        <v>0</v>
      </c>
      <c r="AH37" s="52">
        <f t="shared" si="16"/>
        <v>0</v>
      </c>
      <c r="AI37" s="52">
        <f t="shared" si="17"/>
        <v>0</v>
      </c>
      <c r="AJ37" s="52">
        <f t="shared" si="18"/>
        <v>0</v>
      </c>
      <c r="AK37" s="30"/>
      <c r="AL37" s="30"/>
      <c r="AM37" s="30"/>
      <c r="AN37" s="30"/>
      <c r="AO37" s="30"/>
      <c r="AP37" s="30"/>
      <c r="AS37" s="39"/>
      <c r="AT37" s="47"/>
      <c r="AU37" s="47"/>
      <c r="AV37" s="52">
        <f t="shared" si="19"/>
        <v>0</v>
      </c>
      <c r="AW37" s="52">
        <f t="shared" si="20"/>
        <v>0</v>
      </c>
      <c r="AX37" s="39"/>
      <c r="AY37" s="39"/>
    </row>
    <row r="38" spans="1:51" x14ac:dyDescent="0.25">
      <c r="A38" s="30">
        <v>2003</v>
      </c>
      <c r="B38" s="33">
        <f>w_uf*UF*Parámetros!C25</f>
        <v>590592.53570963664</v>
      </c>
      <c r="C38" s="30">
        <f t="shared" ref="C38" si="129">IF(AND(A38-a_nac&lt;=110,A38-a_nac&gt;0),A38-a_nac,"")</f>
        <v>24</v>
      </c>
      <c r="D38" s="30">
        <f>((A38=Inputs!$C$12)*(Inputs!$D$12) + (A38=Inputs!$C$13)*(Inputs!$D$13) + (A38=Inputs!$C$14)*(Inputs!$D$14)) *(A38 &gt;= a_afil)*(A38&gt;=2024)</f>
        <v>0</v>
      </c>
      <c r="E38" s="30">
        <v>0</v>
      </c>
      <c r="F38" s="30">
        <f t="shared" si="8"/>
        <v>1</v>
      </c>
      <c r="G38" s="30">
        <f t="shared" si="9"/>
        <v>1</v>
      </c>
      <c r="H38" s="30">
        <v>0.69610077142715454</v>
      </c>
      <c r="I38" s="37">
        <f t="shared" si="10"/>
        <v>0.57999999999999996</v>
      </c>
      <c r="J38" s="37">
        <f t="shared" si="11"/>
        <v>0.57999999999999996</v>
      </c>
      <c r="K38" s="84"/>
      <c r="L38" s="71"/>
      <c r="M38" s="87"/>
      <c r="N38" s="47"/>
      <c r="O38" s="47"/>
      <c r="P38" s="47"/>
      <c r="Q38" s="54">
        <f t="shared" ref="Q38" si="130">MIN($B38,_xlfn.XLOOKUP($A38,agnos,tope_base)*UF)*12*I38*$X$2</f>
        <v>411052.40485390706</v>
      </c>
      <c r="R38" s="54">
        <f t="shared" ref="R38" si="131">MIN($B38,_xlfn.XLOOKUP($A38,agnos,tope_base)*UF)*12*J38*$X$2</f>
        <v>411052.40485390706</v>
      </c>
      <c r="S38" s="54">
        <f t="shared" ref="S38" si="132">MIN($B38,_xlfn.XLOOKUP($A38,agnos,tope_base)*UF)*12*I38*$X$2</f>
        <v>411052.40485390706</v>
      </c>
      <c r="T38" s="54">
        <f t="shared" ref="T38" si="133">MIN($B38,_xlfn.XLOOKUP($A38,agnos,tope_base)*UF)*12*J38*$X$2</f>
        <v>411052.40485390706</v>
      </c>
      <c r="U38" s="47"/>
      <c r="V38" s="47"/>
      <c r="W38" s="47"/>
      <c r="X38" s="70">
        <f t="shared" si="25"/>
        <v>411052.40485390706</v>
      </c>
      <c r="Y38" s="70">
        <f t="shared" si="26"/>
        <v>411052.40485390706</v>
      </c>
      <c r="Z38" s="70">
        <f t="shared" si="27"/>
        <v>411052.40485390706</v>
      </c>
      <c r="AA38" s="70">
        <f t="shared" si="28"/>
        <v>411052.40485390706</v>
      </c>
      <c r="AG38" s="52">
        <f t="shared" si="15"/>
        <v>0</v>
      </c>
      <c r="AH38" s="52">
        <f t="shared" si="16"/>
        <v>0</v>
      </c>
      <c r="AI38" s="52">
        <f t="shared" si="17"/>
        <v>0</v>
      </c>
      <c r="AJ38" s="52">
        <f t="shared" si="18"/>
        <v>0</v>
      </c>
      <c r="AK38" s="30"/>
      <c r="AL38" s="30"/>
      <c r="AM38" s="30"/>
      <c r="AN38" s="30"/>
      <c r="AO38" s="30"/>
      <c r="AP38" s="30"/>
      <c r="AS38" s="39"/>
      <c r="AT38" s="47"/>
      <c r="AU38" s="47"/>
      <c r="AV38" s="52">
        <f t="shared" si="19"/>
        <v>0</v>
      </c>
      <c r="AW38" s="52">
        <f t="shared" si="20"/>
        <v>0</v>
      </c>
      <c r="AX38" s="39"/>
      <c r="AY38" s="39"/>
    </row>
    <row r="39" spans="1:51" x14ac:dyDescent="0.25">
      <c r="A39" s="30">
        <v>2004</v>
      </c>
      <c r="B39" s="33">
        <f>w_uf*UF*Parámetros!C26</f>
        <v>596048.79041992011</v>
      </c>
      <c r="C39" s="30">
        <f t="shared" ref="C39" si="134">IF(AND(A39-a_nac&lt;=110,A39-a_nac&gt;0),A39-a_nac,"")</f>
        <v>25</v>
      </c>
      <c r="D39" s="30">
        <f>((A39=Inputs!$C$12)*(Inputs!$D$12) + (A39=Inputs!$C$13)*(Inputs!$D$13) + (A39=Inputs!$C$14)*(Inputs!$D$14)) *(A39 &gt;= a_afil)*(A39&gt;=2024)</f>
        <v>0</v>
      </c>
      <c r="E39" s="30">
        <v>0</v>
      </c>
      <c r="F39" s="30">
        <f t="shared" si="8"/>
        <v>1</v>
      </c>
      <c r="G39" s="30">
        <f t="shared" si="9"/>
        <v>1</v>
      </c>
      <c r="H39" s="30">
        <v>0.41759920120239258</v>
      </c>
      <c r="I39" s="37">
        <f t="shared" si="10"/>
        <v>0.57999999999999996</v>
      </c>
      <c r="J39" s="37">
        <f t="shared" si="11"/>
        <v>0.57999999999999996</v>
      </c>
      <c r="K39" s="84"/>
      <c r="L39" s="71"/>
      <c r="M39" s="87"/>
      <c r="N39" s="47"/>
      <c r="O39" s="47"/>
      <c r="P39" s="47"/>
      <c r="Q39" s="54">
        <f t="shared" ref="Q39" si="135">MIN($B39,_xlfn.XLOOKUP($A39,agnos,tope_base)*UF)*12*I39*$X$2</f>
        <v>414849.95813226444</v>
      </c>
      <c r="R39" s="54">
        <f t="shared" ref="R39" si="136">MIN($B39,_xlfn.XLOOKUP($A39,agnos,tope_base)*UF)*12*J39*$X$2</f>
        <v>414849.95813226444</v>
      </c>
      <c r="S39" s="54">
        <f t="shared" ref="S39" si="137">MIN($B39,_xlfn.XLOOKUP($A39,agnos,tope_base)*UF)*12*I39*$X$2</f>
        <v>414849.95813226444</v>
      </c>
      <c r="T39" s="54">
        <f t="shared" ref="T39" si="138">MIN($B39,_xlfn.XLOOKUP($A39,agnos,tope_base)*UF)*12*J39*$X$2</f>
        <v>414849.95813226444</v>
      </c>
      <c r="U39" s="47"/>
      <c r="V39" s="47"/>
      <c r="W39" s="47"/>
      <c r="X39" s="70">
        <f t="shared" si="25"/>
        <v>869268.3916982587</v>
      </c>
      <c r="Y39" s="70">
        <f t="shared" si="26"/>
        <v>869268.3916982587</v>
      </c>
      <c r="Z39" s="70">
        <f t="shared" si="27"/>
        <v>869268.3916982587</v>
      </c>
      <c r="AA39" s="70">
        <f t="shared" si="28"/>
        <v>869268.3916982587</v>
      </c>
      <c r="AG39" s="52">
        <f t="shared" si="15"/>
        <v>0</v>
      </c>
      <c r="AH39" s="52">
        <f t="shared" si="16"/>
        <v>0</v>
      </c>
      <c r="AI39" s="52">
        <f t="shared" si="17"/>
        <v>0</v>
      </c>
      <c r="AJ39" s="52">
        <f t="shared" si="18"/>
        <v>0</v>
      </c>
      <c r="AK39" s="30"/>
      <c r="AL39" s="30"/>
      <c r="AM39" s="30"/>
      <c r="AN39" s="30"/>
      <c r="AO39" s="30"/>
      <c r="AP39" s="30"/>
      <c r="AS39" s="39"/>
      <c r="AT39" s="47"/>
      <c r="AU39" s="47"/>
      <c r="AV39" s="52">
        <f t="shared" si="19"/>
        <v>0</v>
      </c>
      <c r="AW39" s="52">
        <f t="shared" si="20"/>
        <v>0</v>
      </c>
      <c r="AX39" s="39"/>
      <c r="AY39" s="39"/>
    </row>
    <row r="40" spans="1:51" x14ac:dyDescent="0.25">
      <c r="A40" s="30">
        <v>2005</v>
      </c>
      <c r="B40" s="33">
        <f>w_uf*UF*Parámetros!C27</f>
        <v>606898.58426910418</v>
      </c>
      <c r="C40" s="30">
        <f t="shared" ref="C40" si="139">IF(AND(A40-a_nac&lt;=110,A40-a_nac&gt;0),A40-a_nac,"")</f>
        <v>26</v>
      </c>
      <c r="D40" s="30">
        <f>((A40=Inputs!$C$12)*(Inputs!$D$12) + (A40=Inputs!$C$13)*(Inputs!$D$13) + (A40=Inputs!$C$14)*(Inputs!$D$14)) *(A40 &gt;= a_afil)*(A40&gt;=2024)</f>
        <v>0</v>
      </c>
      <c r="E40" s="30">
        <v>0</v>
      </c>
      <c r="F40" s="30">
        <f t="shared" si="8"/>
        <v>1</v>
      </c>
      <c r="G40" s="30">
        <f t="shared" si="9"/>
        <v>1</v>
      </c>
      <c r="H40" s="30">
        <v>0.73448818922042847</v>
      </c>
      <c r="I40" s="37">
        <f t="shared" si="10"/>
        <v>0.57999999999999996</v>
      </c>
      <c r="J40" s="37">
        <f t="shared" si="11"/>
        <v>0.57999999999999996</v>
      </c>
      <c r="K40" s="84"/>
      <c r="L40" s="71"/>
      <c r="M40" s="87"/>
      <c r="N40" s="47"/>
      <c r="O40" s="47"/>
      <c r="P40" s="47"/>
      <c r="Q40" s="54">
        <f t="shared" ref="Q40" si="140">MIN($B40,_xlfn.XLOOKUP($A40,agnos,tope_base)*UF)*12*I40*$X$2</f>
        <v>422401.41465129651</v>
      </c>
      <c r="R40" s="54">
        <f t="shared" ref="R40" si="141">MIN($B40,_xlfn.XLOOKUP($A40,agnos,tope_base)*UF)*12*J40*$X$2</f>
        <v>422401.41465129651</v>
      </c>
      <c r="S40" s="54">
        <f t="shared" ref="S40" si="142">MIN($B40,_xlfn.XLOOKUP($A40,agnos,tope_base)*UF)*12*I40*$X$2</f>
        <v>422401.41465129651</v>
      </c>
      <c r="T40" s="54">
        <f t="shared" ref="T40" si="143">MIN($B40,_xlfn.XLOOKUP($A40,agnos,tope_base)*UF)*12*J40*$X$2</f>
        <v>422401.41465129651</v>
      </c>
      <c r="U40" s="47"/>
      <c r="V40" s="47"/>
      <c r="W40" s="47"/>
      <c r="X40" s="70">
        <f t="shared" si="25"/>
        <v>1368686.985854021</v>
      </c>
      <c r="Y40" s="70">
        <f t="shared" si="26"/>
        <v>1368686.985854021</v>
      </c>
      <c r="Z40" s="70">
        <f t="shared" si="27"/>
        <v>1368686.985854021</v>
      </c>
      <c r="AA40" s="70">
        <f t="shared" si="28"/>
        <v>1368686.985854021</v>
      </c>
      <c r="AG40" s="52">
        <f t="shared" si="15"/>
        <v>0</v>
      </c>
      <c r="AH40" s="52">
        <f t="shared" si="16"/>
        <v>0</v>
      </c>
      <c r="AI40" s="52">
        <f t="shared" si="17"/>
        <v>0</v>
      </c>
      <c r="AJ40" s="52">
        <f t="shared" si="18"/>
        <v>0</v>
      </c>
      <c r="AK40" s="30"/>
      <c r="AL40" s="30"/>
      <c r="AM40" s="30"/>
      <c r="AN40" s="30"/>
      <c r="AO40" s="30"/>
      <c r="AP40" s="30"/>
      <c r="AS40" s="39"/>
      <c r="AT40" s="47"/>
      <c r="AU40" s="47"/>
      <c r="AV40" s="52">
        <f t="shared" si="19"/>
        <v>0</v>
      </c>
      <c r="AW40" s="52">
        <f t="shared" si="20"/>
        <v>0</v>
      </c>
      <c r="AX40" s="39"/>
      <c r="AY40" s="39"/>
    </row>
    <row r="41" spans="1:51" x14ac:dyDescent="0.25">
      <c r="A41" s="30">
        <v>2006</v>
      </c>
      <c r="B41" s="33">
        <f>w_uf*UF*Parámetros!C28</f>
        <v>618187.38711796631</v>
      </c>
      <c r="C41" s="30">
        <f t="shared" ref="C41" si="144">IF(AND(A41-a_nac&lt;=110,A41-a_nac&gt;0),A41-a_nac,"")</f>
        <v>27</v>
      </c>
      <c r="D41" s="30">
        <f>((A41=Inputs!$C$12)*(Inputs!$D$12) + (A41=Inputs!$C$13)*(Inputs!$D$13) + (A41=Inputs!$C$14)*(Inputs!$D$14)) *(A41 &gt;= a_afil)*(A41&gt;=2024)</f>
        <v>0</v>
      </c>
      <c r="E41" s="30">
        <v>0</v>
      </c>
      <c r="F41" s="30">
        <f t="shared" si="8"/>
        <v>1</v>
      </c>
      <c r="G41" s="30">
        <f t="shared" si="9"/>
        <v>1</v>
      </c>
      <c r="H41" s="30">
        <v>0.2771683931350708</v>
      </c>
      <c r="I41" s="37">
        <f t="shared" si="10"/>
        <v>0.57999999999999996</v>
      </c>
      <c r="J41" s="37">
        <f t="shared" si="11"/>
        <v>0.57999999999999996</v>
      </c>
      <c r="K41" s="84"/>
      <c r="L41" s="71"/>
      <c r="M41" s="87"/>
      <c r="N41" s="47"/>
      <c r="O41" s="47"/>
      <c r="P41" s="47"/>
      <c r="Q41" s="54">
        <f t="shared" ref="Q41" si="145">MIN($B41,_xlfn.XLOOKUP($A41,agnos,tope_base)*UF)*12*I41*$X$2</f>
        <v>430258.42143410456</v>
      </c>
      <c r="R41" s="54">
        <f t="shared" ref="R41" si="146">MIN($B41,_xlfn.XLOOKUP($A41,agnos,tope_base)*UF)*12*J41*$X$2</f>
        <v>430258.42143410456</v>
      </c>
      <c r="S41" s="54">
        <f t="shared" ref="S41" si="147">MIN($B41,_xlfn.XLOOKUP($A41,agnos,tope_base)*UF)*12*I41*$X$2</f>
        <v>430258.42143410456</v>
      </c>
      <c r="T41" s="54">
        <f t="shared" ref="T41" si="148">MIN($B41,_xlfn.XLOOKUP($A41,agnos,tope_base)*UF)*12*J41*$X$2</f>
        <v>430258.42143410456</v>
      </c>
      <c r="U41" s="47"/>
      <c r="V41" s="47"/>
      <c r="W41" s="47"/>
      <c r="X41" s="70">
        <f t="shared" si="25"/>
        <v>1861631.27124024</v>
      </c>
      <c r="Y41" s="70">
        <f t="shared" si="26"/>
        <v>1861631.27124024</v>
      </c>
      <c r="Z41" s="70">
        <f t="shared" si="27"/>
        <v>1861631.27124024</v>
      </c>
      <c r="AA41" s="70">
        <f t="shared" si="28"/>
        <v>1861631.27124024</v>
      </c>
      <c r="AG41" s="52">
        <f t="shared" si="15"/>
        <v>0</v>
      </c>
      <c r="AH41" s="52">
        <f t="shared" si="16"/>
        <v>0</v>
      </c>
      <c r="AI41" s="52">
        <f t="shared" si="17"/>
        <v>0</v>
      </c>
      <c r="AJ41" s="52">
        <f t="shared" si="18"/>
        <v>0</v>
      </c>
      <c r="AK41" s="30"/>
      <c r="AL41" s="30"/>
      <c r="AM41" s="30"/>
      <c r="AN41" s="30"/>
      <c r="AO41" s="30"/>
      <c r="AP41" s="30"/>
      <c r="AS41" s="39"/>
      <c r="AT41" s="47"/>
      <c r="AU41" s="47"/>
      <c r="AV41" s="52">
        <f t="shared" si="19"/>
        <v>0</v>
      </c>
      <c r="AW41" s="52">
        <f t="shared" si="20"/>
        <v>0</v>
      </c>
      <c r="AX41" s="39"/>
      <c r="AY41" s="39"/>
    </row>
    <row r="42" spans="1:51" x14ac:dyDescent="0.25">
      <c r="A42" s="30">
        <v>2007</v>
      </c>
      <c r="B42" s="33">
        <f>w_uf*UF*Parámetros!C29</f>
        <v>630291.49239480181</v>
      </c>
      <c r="C42" s="30">
        <f t="shared" ref="C42" si="149">IF(AND(A42-a_nac&lt;=110,A42-a_nac&gt;0),A42-a_nac,"")</f>
        <v>28</v>
      </c>
      <c r="D42" s="30">
        <f>((A42=Inputs!$C$12)*(Inputs!$D$12) + (A42=Inputs!$C$13)*(Inputs!$D$13) + (A42=Inputs!$C$14)*(Inputs!$D$14)) *(A42 &gt;= a_afil)*(A42&gt;=2024)</f>
        <v>0</v>
      </c>
      <c r="E42" s="30">
        <v>0</v>
      </c>
      <c r="F42" s="30">
        <f t="shared" si="8"/>
        <v>1</v>
      </c>
      <c r="G42" s="30">
        <f t="shared" si="9"/>
        <v>1</v>
      </c>
      <c r="H42" s="30">
        <v>0.3565862774848938</v>
      </c>
      <c r="I42" s="37">
        <f t="shared" si="10"/>
        <v>0.57999999999999996</v>
      </c>
      <c r="J42" s="37">
        <f t="shared" si="11"/>
        <v>0.57999999999999996</v>
      </c>
      <c r="K42" s="84"/>
      <c r="L42" s="71"/>
      <c r="M42" s="87"/>
      <c r="N42" s="47"/>
      <c r="O42" s="47"/>
      <c r="P42" s="47"/>
      <c r="Q42" s="54">
        <f t="shared" ref="Q42" si="150">MIN($B42,_xlfn.XLOOKUP($A42,agnos,tope_base)*UF)*12*I42*$X$2</f>
        <v>438682.87870678207</v>
      </c>
      <c r="R42" s="54">
        <f t="shared" ref="R42" si="151">MIN($B42,_xlfn.XLOOKUP($A42,agnos,tope_base)*UF)*12*J42*$X$2</f>
        <v>438682.87870678207</v>
      </c>
      <c r="S42" s="54">
        <f t="shared" ref="S42" si="152">MIN($B42,_xlfn.XLOOKUP($A42,agnos,tope_base)*UF)*12*I42*$X$2</f>
        <v>438682.87870678207</v>
      </c>
      <c r="T42" s="54">
        <f t="shared" ref="T42" si="153">MIN($B42,_xlfn.XLOOKUP($A42,agnos,tope_base)*UF)*12*J42*$X$2</f>
        <v>438682.87870678207</v>
      </c>
      <c r="U42" s="47"/>
      <c r="V42" s="47"/>
      <c r="W42" s="47"/>
      <c r="X42" s="54">
        <f t="shared" si="25"/>
        <v>2593893.4014216079</v>
      </c>
      <c r="Y42" s="54">
        <f t="shared" si="26"/>
        <v>2593893.4014216079</v>
      </c>
      <c r="Z42" s="70">
        <f t="shared" si="27"/>
        <v>2593893.4014216079</v>
      </c>
      <c r="AA42" s="70">
        <f t="shared" si="28"/>
        <v>2593893.4014216079</v>
      </c>
      <c r="AG42" s="52">
        <f t="shared" si="15"/>
        <v>0</v>
      </c>
      <c r="AH42" s="52">
        <f t="shared" si="16"/>
        <v>0</v>
      </c>
      <c r="AI42" s="52">
        <f t="shared" si="17"/>
        <v>0</v>
      </c>
      <c r="AJ42" s="52">
        <f t="shared" si="18"/>
        <v>0</v>
      </c>
      <c r="AK42" s="30"/>
      <c r="AL42" s="30"/>
      <c r="AM42" s="30"/>
      <c r="AN42" s="30"/>
      <c r="AO42" s="30"/>
      <c r="AP42" s="30"/>
      <c r="AS42" s="39"/>
      <c r="AT42" s="47"/>
      <c r="AU42" s="47"/>
      <c r="AV42" s="52">
        <f t="shared" si="19"/>
        <v>0</v>
      </c>
      <c r="AW42" s="52">
        <f t="shared" si="20"/>
        <v>0</v>
      </c>
      <c r="AX42" s="39"/>
      <c r="AY42" s="39"/>
    </row>
    <row r="43" spans="1:51" x14ac:dyDescent="0.25">
      <c r="A43" s="30">
        <v>2008</v>
      </c>
      <c r="B43" s="33">
        <f>w_uf*UF*Parámetros!C30</f>
        <v>648039.99909606832</v>
      </c>
      <c r="C43" s="30">
        <f t="shared" ref="C43" si="154">IF(AND(A43-a_nac&lt;=110,A43-a_nac&gt;0),A43-a_nac,"")</f>
        <v>29</v>
      </c>
      <c r="D43" s="30">
        <f>((A43=Inputs!$C$12)*(Inputs!$D$12) + (A43=Inputs!$C$13)*(Inputs!$D$13) + (A43=Inputs!$C$14)*(Inputs!$D$14)) *(A43 &gt;= a_afil)*(A43&gt;=2024)</f>
        <v>0</v>
      </c>
      <c r="E43" s="30">
        <v>0</v>
      </c>
      <c r="F43" s="30">
        <f t="shared" si="8"/>
        <v>1</v>
      </c>
      <c r="G43" s="30">
        <f t="shared" si="9"/>
        <v>1</v>
      </c>
      <c r="H43" s="30">
        <v>0.4334571361541748</v>
      </c>
      <c r="I43" s="37">
        <f t="shared" si="10"/>
        <v>0.57999999999999996</v>
      </c>
      <c r="J43" s="37">
        <f t="shared" si="11"/>
        <v>0.57999999999999996</v>
      </c>
      <c r="K43" s="84"/>
      <c r="L43" s="71"/>
      <c r="M43" s="87"/>
      <c r="N43" s="47"/>
      <c r="O43" s="47"/>
      <c r="P43" s="47"/>
      <c r="Q43" s="54">
        <f t="shared" ref="Q43" si="155">MIN($B43,_xlfn.XLOOKUP($A43,agnos,tope_base)*UF)*12*I43*$X$2</f>
        <v>451035.83937086351</v>
      </c>
      <c r="R43" s="54">
        <f t="shared" ref="R43" si="156">MIN($B43,_xlfn.XLOOKUP($A43,agnos,tope_base)*UF)*12*J43*$X$2</f>
        <v>451035.83937086351</v>
      </c>
      <c r="S43" s="54">
        <f t="shared" ref="S43" si="157">MIN($B43,_xlfn.XLOOKUP($A43,agnos,tope_base)*UF)*12*I43*$X$2</f>
        <v>451035.83937086351</v>
      </c>
      <c r="T43" s="54">
        <f t="shared" ref="T43" si="158">MIN($B43,_xlfn.XLOOKUP($A43,agnos,tope_base)*UF)*12*J43*$X$2</f>
        <v>451035.83937086351</v>
      </c>
      <c r="U43" s="47"/>
      <c r="V43" s="47"/>
      <c r="W43" s="47"/>
      <c r="X43" s="54">
        <f t="shared" si="25"/>
        <v>3174364.52152341</v>
      </c>
      <c r="Y43" s="54">
        <f t="shared" si="26"/>
        <v>3174364.52152341</v>
      </c>
      <c r="Z43" s="70">
        <f t="shared" si="27"/>
        <v>3174364.52152341</v>
      </c>
      <c r="AA43" s="70">
        <f t="shared" si="28"/>
        <v>3174364.52152341</v>
      </c>
      <c r="AG43" s="52">
        <f t="shared" si="15"/>
        <v>0</v>
      </c>
      <c r="AH43" s="52">
        <f t="shared" si="16"/>
        <v>0</v>
      </c>
      <c r="AI43" s="52">
        <f t="shared" si="17"/>
        <v>0</v>
      </c>
      <c r="AJ43" s="52">
        <f t="shared" si="18"/>
        <v>0</v>
      </c>
      <c r="AK43" s="30"/>
      <c r="AL43" s="30"/>
      <c r="AM43" s="30"/>
      <c r="AN43" s="30"/>
      <c r="AO43" s="30"/>
      <c r="AP43" s="30"/>
      <c r="AS43" s="39"/>
      <c r="AT43" s="47"/>
      <c r="AU43" s="47"/>
      <c r="AV43" s="52">
        <f t="shared" si="19"/>
        <v>0</v>
      </c>
      <c r="AW43" s="52">
        <f t="shared" si="20"/>
        <v>0</v>
      </c>
      <c r="AX43" s="39"/>
      <c r="AY43" s="39"/>
    </row>
    <row r="44" spans="1:51" x14ac:dyDescent="0.25">
      <c r="A44" s="30">
        <v>2009</v>
      </c>
      <c r="B44" s="33">
        <f>w_uf*UF*Parámetros!C31</f>
        <v>646722.97209703445</v>
      </c>
      <c r="C44" s="30">
        <f t="shared" ref="C44" si="159">IF(AND(A44-a_nac&lt;=110,A44-a_nac&gt;0),A44-a_nac,"")</f>
        <v>30</v>
      </c>
      <c r="D44" s="30">
        <f>((A44=Inputs!$C$12)*(Inputs!$D$12) + (A44=Inputs!$C$13)*(Inputs!$D$13) + (A44=Inputs!$C$14)*(Inputs!$D$14)) *(A44 &gt;= a_afil)*(A44&gt;=2024)</f>
        <v>0</v>
      </c>
      <c r="E44" s="30">
        <v>0</v>
      </c>
      <c r="F44" s="30">
        <f t="shared" si="8"/>
        <v>1</v>
      </c>
      <c r="G44" s="30">
        <f t="shared" si="9"/>
        <v>1</v>
      </c>
      <c r="H44" s="30">
        <v>0.94497102499008179</v>
      </c>
      <c r="I44" s="37">
        <f t="shared" si="10"/>
        <v>0.57999999999999996</v>
      </c>
      <c r="J44" s="37">
        <f t="shared" si="11"/>
        <v>0.57999999999999996</v>
      </c>
      <c r="K44" s="84"/>
      <c r="L44" s="71"/>
      <c r="M44" s="87"/>
      <c r="N44" s="47"/>
      <c r="O44" s="47"/>
      <c r="P44" s="47"/>
      <c r="Q44" s="54">
        <f t="shared" ref="Q44" si="160">MIN($B44,_xlfn.XLOOKUP($A44,agnos,tope_base)*UF)*12*I44*$X$2</f>
        <v>450119.18857953598</v>
      </c>
      <c r="R44" s="54">
        <f t="shared" ref="R44" si="161">MIN($B44,_xlfn.XLOOKUP($A44,agnos,tope_base)*UF)*12*J44*$X$2</f>
        <v>450119.18857953598</v>
      </c>
      <c r="S44" s="54">
        <f t="shared" ref="S44" si="162">MIN($B44,_xlfn.XLOOKUP($A44,agnos,tope_base)*UF)*12*I44*$X$2</f>
        <v>450119.18857953598</v>
      </c>
      <c r="T44" s="54">
        <f t="shared" ref="T44" si="163">MIN($B44,_xlfn.XLOOKUP($A44,agnos,tope_base)*UF)*12*J44*$X$2</f>
        <v>450119.18857953598</v>
      </c>
      <c r="U44" s="47"/>
      <c r="V44" s="47"/>
      <c r="W44" s="47"/>
      <c r="X44" s="54">
        <f t="shared" si="25"/>
        <v>3023259.0697264122</v>
      </c>
      <c r="Y44" s="54">
        <f t="shared" si="26"/>
        <v>3023259.0697264122</v>
      </c>
      <c r="Z44" s="54">
        <f t="shared" si="27"/>
        <v>3023259.0697264122</v>
      </c>
      <c r="AA44" s="54">
        <f t="shared" si="28"/>
        <v>3023259.0697264122</v>
      </c>
      <c r="AG44" s="52">
        <f t="shared" si="15"/>
        <v>0</v>
      </c>
      <c r="AH44" s="52">
        <f t="shared" si="16"/>
        <v>0</v>
      </c>
      <c r="AI44" s="52">
        <f t="shared" si="17"/>
        <v>0</v>
      </c>
      <c r="AJ44" s="52">
        <f t="shared" si="18"/>
        <v>0</v>
      </c>
      <c r="AK44" s="30"/>
      <c r="AL44" s="30"/>
      <c r="AM44" s="30"/>
      <c r="AN44" s="30"/>
      <c r="AO44" s="30"/>
      <c r="AP44" s="30"/>
      <c r="AS44" s="39"/>
      <c r="AT44" s="47"/>
      <c r="AU44" s="47"/>
      <c r="AV44" s="52">
        <f t="shared" si="19"/>
        <v>0</v>
      </c>
      <c r="AW44" s="52">
        <f t="shared" si="20"/>
        <v>0</v>
      </c>
      <c r="AX44" s="39"/>
      <c r="AY44" s="39"/>
    </row>
    <row r="45" spans="1:51" x14ac:dyDescent="0.25">
      <c r="A45" s="30">
        <v>2010</v>
      </c>
      <c r="B45" s="33">
        <f>w_uf*UF*Parámetros!C32</f>
        <v>677677.83256711613</v>
      </c>
      <c r="C45" s="30">
        <f t="shared" ref="C45" si="164">IF(AND(A45-a_nac&lt;=110,A45-a_nac&gt;0),A45-a_nac,"")</f>
        <v>31</v>
      </c>
      <c r="D45" s="30">
        <f>((A45=Inputs!$C$12)*(Inputs!$D$12) + (A45=Inputs!$C$13)*(Inputs!$D$13) + (A45=Inputs!$C$14)*(Inputs!$D$14)) *(A45 &gt;= a_afil)*(A45&gt;=2024)</f>
        <v>0</v>
      </c>
      <c r="E45" s="30">
        <v>0</v>
      </c>
      <c r="F45" s="30">
        <f t="shared" si="8"/>
        <v>1</v>
      </c>
      <c r="G45" s="30">
        <f t="shared" si="9"/>
        <v>1</v>
      </c>
      <c r="H45" s="30">
        <v>0.12154996395111084</v>
      </c>
      <c r="I45" s="37">
        <f t="shared" si="10"/>
        <v>0.57999999999999996</v>
      </c>
      <c r="J45" s="37">
        <f t="shared" si="11"/>
        <v>0.57999999999999996</v>
      </c>
      <c r="K45" s="84"/>
      <c r="L45" s="71"/>
      <c r="M45" s="87"/>
      <c r="N45" s="47"/>
      <c r="O45" s="47"/>
      <c r="P45" s="47"/>
      <c r="Q45" s="54">
        <f t="shared" ref="Q45" si="165">MIN($B45,_xlfn.XLOOKUP($A45,agnos,tope_base)*UF)*12*I45*$X$2</f>
        <v>471663.77146671276</v>
      </c>
      <c r="R45" s="54">
        <f t="shared" ref="R45" si="166">MIN($B45,_xlfn.XLOOKUP($A45,agnos,tope_base)*UF)*12*J45*$X$2</f>
        <v>471663.77146671276</v>
      </c>
      <c r="S45" s="54">
        <f t="shared" ref="S45" si="167">MIN($B45,_xlfn.XLOOKUP($A45,agnos,tope_base)*UF)*12*I45*$X$2</f>
        <v>471663.77146671276</v>
      </c>
      <c r="T45" s="54">
        <f t="shared" ref="T45" si="168">MIN($B45,_xlfn.XLOOKUP($A45,agnos,tope_base)*UF)*12*J45*$X$2</f>
        <v>471663.77146671276</v>
      </c>
      <c r="U45" s="47"/>
      <c r="V45" s="47"/>
      <c r="W45" s="47"/>
      <c r="X45" s="54">
        <f t="shared" si="25"/>
        <v>4176063.1096024858</v>
      </c>
      <c r="Y45" s="54">
        <f t="shared" si="26"/>
        <v>4176063.1096024858</v>
      </c>
      <c r="Z45" s="54">
        <f t="shared" si="27"/>
        <v>4176063.1096024858</v>
      </c>
      <c r="AA45" s="54">
        <f t="shared" si="28"/>
        <v>4176063.1096024858</v>
      </c>
      <c r="AG45" s="52">
        <f t="shared" si="15"/>
        <v>0</v>
      </c>
      <c r="AH45" s="52">
        <f t="shared" si="16"/>
        <v>0</v>
      </c>
      <c r="AI45" s="52">
        <f t="shared" si="17"/>
        <v>0</v>
      </c>
      <c r="AJ45" s="52">
        <f t="shared" si="18"/>
        <v>0</v>
      </c>
      <c r="AK45" s="30"/>
      <c r="AL45" s="30"/>
      <c r="AM45" s="30"/>
      <c r="AN45" s="30"/>
      <c r="AO45" s="30"/>
      <c r="AP45" s="30"/>
      <c r="AS45" s="39"/>
      <c r="AT45" s="47"/>
      <c r="AU45" s="47"/>
      <c r="AV45" s="52">
        <f t="shared" si="19"/>
        <v>0</v>
      </c>
      <c r="AW45" s="52">
        <f t="shared" si="20"/>
        <v>0</v>
      </c>
      <c r="AX45" s="39"/>
      <c r="AY45" s="39"/>
    </row>
    <row r="46" spans="1:51" x14ac:dyDescent="0.25">
      <c r="A46" s="30">
        <v>2011</v>
      </c>
      <c r="B46" s="33">
        <f>w_uf*UF*Parámetros!C33</f>
        <v>695953.37307313946</v>
      </c>
      <c r="C46" s="30">
        <f t="shared" ref="C46" si="169">IF(AND(A46-a_nac&lt;=110,A46-a_nac&gt;0),A46-a_nac,"")</f>
        <v>32</v>
      </c>
      <c r="D46" s="30">
        <f>((A46=Inputs!$C$12)*(Inputs!$D$12) + (A46=Inputs!$C$13)*(Inputs!$D$13) + (A46=Inputs!$C$14)*(Inputs!$D$14)) *(A46 &gt;= a_afil)*(A46&gt;=2024)</f>
        <v>0</v>
      </c>
      <c r="E46" s="30">
        <v>0</v>
      </c>
      <c r="F46" s="30">
        <f t="shared" si="8"/>
        <v>1</v>
      </c>
      <c r="G46" s="30">
        <f t="shared" si="9"/>
        <v>1</v>
      </c>
      <c r="H46" s="30">
        <v>0.64595133066177368</v>
      </c>
      <c r="I46" s="37">
        <f t="shared" si="10"/>
        <v>0.57999999999999996</v>
      </c>
      <c r="J46" s="37">
        <f t="shared" si="11"/>
        <v>0.57999999999999996</v>
      </c>
      <c r="K46" s="84"/>
      <c r="L46" s="71"/>
      <c r="M46" s="87"/>
      <c r="N46" s="47"/>
      <c r="O46" s="47"/>
      <c r="P46" s="47"/>
      <c r="Q46" s="54">
        <f t="shared" ref="Q46" si="170">MIN($B46,_xlfn.XLOOKUP($A46,agnos,tope_base)*UF)*12*I46*$X$2</f>
        <v>484383.54765890504</v>
      </c>
      <c r="R46" s="54">
        <f t="shared" ref="R46" si="171">MIN($B46,_xlfn.XLOOKUP($A46,agnos,tope_base)*UF)*12*J46*$X$2</f>
        <v>484383.54765890504</v>
      </c>
      <c r="S46" s="54">
        <f t="shared" ref="S46" si="172">MIN($B46,_xlfn.XLOOKUP($A46,agnos,tope_base)*UF)*12*I46*$X$2</f>
        <v>484383.54765890504</v>
      </c>
      <c r="T46" s="54">
        <f t="shared" ref="T46" si="173">MIN($B46,_xlfn.XLOOKUP($A46,agnos,tope_base)*UF)*12*J46*$X$2</f>
        <v>484383.54765890504</v>
      </c>
      <c r="U46" s="47"/>
      <c r="V46" s="47"/>
      <c r="W46" s="47"/>
      <c r="X46" s="54">
        <f t="shared" si="25"/>
        <v>5050490.9516982632</v>
      </c>
      <c r="Y46" s="54">
        <f t="shared" si="26"/>
        <v>5050490.9516982632</v>
      </c>
      <c r="Z46" s="54">
        <f t="shared" si="27"/>
        <v>5050490.9516982632</v>
      </c>
      <c r="AA46" s="54">
        <f t="shared" si="28"/>
        <v>5050490.9516982632</v>
      </c>
      <c r="AG46" s="52">
        <f t="shared" si="15"/>
        <v>0</v>
      </c>
      <c r="AH46" s="52">
        <f t="shared" si="16"/>
        <v>0</v>
      </c>
      <c r="AI46" s="52">
        <f t="shared" si="17"/>
        <v>0</v>
      </c>
      <c r="AJ46" s="52">
        <f t="shared" si="18"/>
        <v>0</v>
      </c>
      <c r="AK46" s="30"/>
      <c r="AL46" s="30"/>
      <c r="AM46" s="30"/>
      <c r="AN46" s="30"/>
      <c r="AO46" s="30"/>
      <c r="AP46" s="30"/>
      <c r="AS46" s="39"/>
      <c r="AT46" s="47"/>
      <c r="AU46" s="47"/>
      <c r="AV46" s="52">
        <f t="shared" si="19"/>
        <v>0</v>
      </c>
      <c r="AW46" s="52">
        <f t="shared" si="20"/>
        <v>0</v>
      </c>
      <c r="AX46" s="39"/>
      <c r="AY46" s="39"/>
    </row>
    <row r="47" spans="1:51" x14ac:dyDescent="0.25">
      <c r="A47" s="30">
        <v>2012</v>
      </c>
      <c r="B47" s="33">
        <f>w_uf*UF*Parámetros!C34</f>
        <v>713348.65352546691</v>
      </c>
      <c r="C47" s="30">
        <f t="shared" ref="C47" si="174">IF(AND(A47-a_nac&lt;=110,A47-a_nac&gt;0),A47-a_nac,"")</f>
        <v>33</v>
      </c>
      <c r="D47" s="30">
        <f>((A47=Inputs!$C$12)*(Inputs!$D$12) + (A47=Inputs!$C$13)*(Inputs!$D$13) + (A47=Inputs!$C$14)*(Inputs!$D$14)) *(A47 &gt;= a_afil)*(A47&gt;=2024)</f>
        <v>0</v>
      </c>
      <c r="E47" s="30">
        <v>0</v>
      </c>
      <c r="F47" s="30">
        <f t="shared" si="8"/>
        <v>1</v>
      </c>
      <c r="G47" s="30">
        <f t="shared" si="9"/>
        <v>1</v>
      </c>
      <c r="H47" s="30">
        <v>0.34783267974853516</v>
      </c>
      <c r="I47" s="37">
        <f t="shared" si="10"/>
        <v>0.57999999999999996</v>
      </c>
      <c r="J47" s="37">
        <f t="shared" si="11"/>
        <v>0.57999999999999996</v>
      </c>
      <c r="K47" s="84"/>
      <c r="L47" s="71"/>
      <c r="M47" s="87"/>
      <c r="N47" s="47"/>
      <c r="O47" s="47"/>
      <c r="P47" s="47"/>
      <c r="Q47" s="54">
        <f t="shared" ref="Q47" si="175">MIN($B47,_xlfn.XLOOKUP($A47,agnos,tope_base)*UF)*12*I47*$X$2</f>
        <v>496490.66285372491</v>
      </c>
      <c r="R47" s="54">
        <f t="shared" ref="R47" si="176">MIN($B47,_xlfn.XLOOKUP($A47,agnos,tope_base)*UF)*12*J47*$X$2</f>
        <v>496490.66285372491</v>
      </c>
      <c r="S47" s="54">
        <f t="shared" ref="S47" si="177">MIN($B47,_xlfn.XLOOKUP($A47,agnos,tope_base)*UF)*12*I47*$X$2</f>
        <v>496490.66285372491</v>
      </c>
      <c r="T47" s="54">
        <f t="shared" ref="T47" si="178">MIN($B47,_xlfn.XLOOKUP($A47,agnos,tope_base)*UF)*12*J47*$X$2</f>
        <v>496490.66285372491</v>
      </c>
      <c r="U47" s="47"/>
      <c r="V47" s="47"/>
      <c r="W47" s="47"/>
      <c r="X47" s="54">
        <f t="shared" si="25"/>
        <v>5355568.0074826237</v>
      </c>
      <c r="Y47" s="54">
        <f t="shared" si="26"/>
        <v>5355568.0074826237</v>
      </c>
      <c r="Z47" s="54">
        <f t="shared" si="27"/>
        <v>5355568.0074826237</v>
      </c>
      <c r="AA47" s="54">
        <f t="shared" si="28"/>
        <v>5355568.0074826237</v>
      </c>
      <c r="AG47" s="52">
        <f t="shared" si="15"/>
        <v>0</v>
      </c>
      <c r="AH47" s="52">
        <f t="shared" si="16"/>
        <v>0</v>
      </c>
      <c r="AI47" s="52">
        <f t="shared" si="17"/>
        <v>0</v>
      </c>
      <c r="AJ47" s="52">
        <f t="shared" si="18"/>
        <v>0</v>
      </c>
      <c r="AK47" s="30"/>
      <c r="AL47" s="30"/>
      <c r="AM47" s="30"/>
      <c r="AN47" s="30"/>
      <c r="AO47" s="30"/>
      <c r="AP47" s="30"/>
      <c r="AS47" s="39"/>
      <c r="AT47" s="47"/>
      <c r="AU47" s="47"/>
      <c r="AV47" s="52">
        <f t="shared" si="19"/>
        <v>0</v>
      </c>
      <c r="AW47" s="52">
        <f t="shared" si="20"/>
        <v>0</v>
      </c>
      <c r="AX47" s="39"/>
      <c r="AY47" s="39"/>
    </row>
    <row r="48" spans="1:51" x14ac:dyDescent="0.25">
      <c r="A48" s="30">
        <v>2013</v>
      </c>
      <c r="B48" s="33">
        <f>w_uf*UF*Parámetros!C35</f>
        <v>736534.87895418215</v>
      </c>
      <c r="C48" s="30">
        <f t="shared" ref="C48" si="179">IF(AND(A48-a_nac&lt;=110,A48-a_nac&gt;0),A48-a_nac,"")</f>
        <v>34</v>
      </c>
      <c r="D48" s="30">
        <f>((A48=Inputs!$C$12)*(Inputs!$D$12) + (A48=Inputs!$C$13)*(Inputs!$D$13) + (A48=Inputs!$C$14)*(Inputs!$D$14)) *(A48 &gt;= a_afil)*(A48&gt;=2024)</f>
        <v>0</v>
      </c>
      <c r="E48" s="30">
        <v>0</v>
      </c>
      <c r="F48" s="30">
        <f t="shared" ref="F48:F79" si="180" xml:space="preserve"> (C48&lt;edad_ret_h) * (A48&gt;=a_afil)</f>
        <v>1</v>
      </c>
      <c r="G48" s="30">
        <f t="shared" ref="G48:G79" si="181" xml:space="preserve"> (C48&lt;edad_ret_m) * (A48&gt;=a_afil)</f>
        <v>1</v>
      </c>
      <c r="H48" s="30">
        <v>0.10443228483200073</v>
      </c>
      <c r="I48" s="37">
        <f t="shared" si="10"/>
        <v>0.57999999999999996</v>
      </c>
      <c r="J48" s="37">
        <f t="shared" si="11"/>
        <v>0.57999999999999996</v>
      </c>
      <c r="K48" s="84"/>
      <c r="L48" s="71"/>
      <c r="M48" s="87"/>
      <c r="N48" s="47"/>
      <c r="O48" s="47"/>
      <c r="P48" s="47"/>
      <c r="Q48" s="54">
        <f t="shared" ref="Q48" si="182">MIN($B48,_xlfn.XLOOKUP($A48,agnos,tope_base)*UF)*12*I48*$X$2</f>
        <v>512628.2757521107</v>
      </c>
      <c r="R48" s="54">
        <f t="shared" ref="R48" si="183">MIN($B48,_xlfn.XLOOKUP($A48,agnos,tope_base)*UF)*12*J48*$X$2</f>
        <v>512628.2757521107</v>
      </c>
      <c r="S48" s="54">
        <f t="shared" ref="S48" si="184">MIN($B48,_xlfn.XLOOKUP($A48,agnos,tope_base)*UF)*12*I48*$X$2</f>
        <v>512628.2757521107</v>
      </c>
      <c r="T48" s="54">
        <f t="shared" ref="T48" si="185">MIN($B48,_xlfn.XLOOKUP($A48,agnos,tope_base)*UF)*12*J48*$X$2</f>
        <v>512628.2757521107</v>
      </c>
      <c r="U48" s="47"/>
      <c r="V48" s="47"/>
      <c r="W48" s="47"/>
      <c r="X48" s="54">
        <f t="shared" si="25"/>
        <v>6115087.9683796829</v>
      </c>
      <c r="Y48" s="54">
        <f t="shared" si="26"/>
        <v>6115087.9683796829</v>
      </c>
      <c r="Z48" s="54">
        <f t="shared" si="27"/>
        <v>6115087.9683796829</v>
      </c>
      <c r="AA48" s="54">
        <f t="shared" si="28"/>
        <v>6115087.9683796829</v>
      </c>
      <c r="AG48" s="52">
        <f t="shared" ref="AG48:AG79" si="186">($A48=D$9)*X48/(12*_xlfn.XLOOKUP(AG$15,sexo_cnu,cnu))</f>
        <v>0</v>
      </c>
      <c r="AH48" s="52">
        <f t="shared" ref="AH48:AH79" si="187">($A48=E$9)*Y48/(12*_xlfn.XLOOKUP(AH$15,sexo_cnu,cnu))</f>
        <v>0</v>
      </c>
      <c r="AI48" s="52">
        <f t="shared" si="17"/>
        <v>0</v>
      </c>
      <c r="AJ48" s="52">
        <f t="shared" si="18"/>
        <v>0</v>
      </c>
      <c r="AK48" s="30"/>
      <c r="AL48" s="30"/>
      <c r="AM48" s="30"/>
      <c r="AN48" s="30"/>
      <c r="AO48" s="30"/>
      <c r="AP48" s="30"/>
      <c r="AS48" s="39"/>
      <c r="AT48" s="47"/>
      <c r="AU48" s="47"/>
      <c r="AV48" s="52">
        <f t="shared" si="19"/>
        <v>0</v>
      </c>
      <c r="AW48" s="52">
        <f t="shared" ref="AW48:AW79" si="188">IF($A48=a_nac+edad_ret_m,AA48/(12*_xlfn.XLOOKUP(AW$15,sexo_cnu,cnu)),0)</f>
        <v>0</v>
      </c>
      <c r="AX48" s="39"/>
      <c r="AY48" s="39"/>
    </row>
    <row r="49" spans="1:51" x14ac:dyDescent="0.25">
      <c r="A49" s="30">
        <v>2014</v>
      </c>
      <c r="B49" s="33">
        <f>w_uf*UF*Parámetros!C36</f>
        <v>764995.80232650624</v>
      </c>
      <c r="C49" s="30">
        <f t="shared" ref="C49" si="189">IF(AND(A49-a_nac&lt;=110,A49-a_nac&gt;0),A49-a_nac,"")</f>
        <v>35</v>
      </c>
      <c r="D49" s="30">
        <f>((A49=Inputs!$C$12)*(Inputs!$D$12) + (A49=Inputs!$C$13)*(Inputs!$D$13) + (A49=Inputs!$C$14)*(Inputs!$D$14)) *(A49 &gt;= a_afil)*(A49&gt;=2024)</f>
        <v>0</v>
      </c>
      <c r="E49" s="30">
        <v>0</v>
      </c>
      <c r="F49" s="30">
        <f t="shared" si="180"/>
        <v>1</v>
      </c>
      <c r="G49" s="30">
        <f t="shared" si="181"/>
        <v>1</v>
      </c>
      <c r="H49" s="30">
        <v>0.185402512550354</v>
      </c>
      <c r="I49" s="37">
        <f t="shared" si="10"/>
        <v>0.57999999999999996</v>
      </c>
      <c r="J49" s="37">
        <f t="shared" si="11"/>
        <v>0.57999999999999996</v>
      </c>
      <c r="K49" s="84"/>
      <c r="L49" s="71"/>
      <c r="M49" s="87"/>
      <c r="N49" s="47"/>
      <c r="O49" s="47"/>
      <c r="P49" s="47"/>
      <c r="Q49" s="54">
        <f t="shared" ref="Q49" si="190">MIN($B49,_xlfn.XLOOKUP($A49,agnos,tope_base)*UF)*12*I49*$X$2</f>
        <v>532437.07841924846</v>
      </c>
      <c r="R49" s="54">
        <f t="shared" ref="R49" si="191">MIN($B49,_xlfn.XLOOKUP($A49,agnos,tope_base)*UF)*12*J49*$X$2</f>
        <v>532437.07841924846</v>
      </c>
      <c r="S49" s="54">
        <f t="shared" ref="S49" si="192">MIN($B49,_xlfn.XLOOKUP($A49,agnos,tope_base)*UF)*12*I49*$X$2</f>
        <v>532437.07841924846</v>
      </c>
      <c r="T49" s="54">
        <f t="shared" ref="T49" si="193">MIN($B49,_xlfn.XLOOKUP($A49,agnos,tope_base)*UF)*12*J49*$X$2</f>
        <v>532437.07841924846</v>
      </c>
      <c r="U49" s="47"/>
      <c r="V49" s="47"/>
      <c r="W49" s="47"/>
      <c r="X49" s="54">
        <f t="shared" ref="X49:X80" si="194">F48*X48*(1+_xlfn.XLOOKUP(MIN(2024,$A48),agnos_rent,rent_base))+Q49</f>
        <v>6933711.1637190999</v>
      </c>
      <c r="Y49" s="54">
        <f t="shared" ref="Y49:Y80" si="195">G48*Y48*(1+_xlfn.XLOOKUP(MIN(2024,$A48),agnos_rent,rent_base))+R49</f>
        <v>6933711.1637190999</v>
      </c>
      <c r="Z49" s="54">
        <f t="shared" si="27"/>
        <v>6933711.1637190999</v>
      </c>
      <c r="AA49" s="54">
        <f t="shared" si="28"/>
        <v>6933711.1637190999</v>
      </c>
      <c r="AG49" s="52">
        <f t="shared" si="186"/>
        <v>0</v>
      </c>
      <c r="AH49" s="52">
        <f t="shared" si="187"/>
        <v>0</v>
      </c>
      <c r="AI49" s="52">
        <f t="shared" si="17"/>
        <v>0</v>
      </c>
      <c r="AJ49" s="52">
        <f t="shared" si="18"/>
        <v>0</v>
      </c>
      <c r="AK49" s="30"/>
      <c r="AL49" s="30"/>
      <c r="AM49" s="30"/>
      <c r="AN49" s="30"/>
      <c r="AO49" s="30"/>
      <c r="AP49" s="30"/>
      <c r="AS49" s="39"/>
      <c r="AT49" s="47"/>
      <c r="AU49" s="47"/>
      <c r="AV49" s="52">
        <f t="shared" si="19"/>
        <v>0</v>
      </c>
      <c r="AW49" s="52">
        <f t="shared" si="188"/>
        <v>0</v>
      </c>
      <c r="AX49" s="39"/>
      <c r="AY49" s="39"/>
    </row>
    <row r="50" spans="1:51" x14ac:dyDescent="0.25">
      <c r="A50" s="30">
        <v>2015</v>
      </c>
      <c r="B50" s="33">
        <f>w_uf*UF*Parámetros!C37</f>
        <v>778500.52543035639</v>
      </c>
      <c r="C50" s="30">
        <f t="shared" ref="C50" si="196">IF(AND(A50-a_nac&lt;=110,A50-a_nac&gt;0),A50-a_nac,"")</f>
        <v>36</v>
      </c>
      <c r="D50" s="30">
        <f>((A50=Inputs!$C$12)*(Inputs!$D$12) + (A50=Inputs!$C$13)*(Inputs!$D$13) + (A50=Inputs!$C$14)*(Inputs!$D$14)) *(A50 &gt;= a_afil)*(A50&gt;=2024)</f>
        <v>0</v>
      </c>
      <c r="E50" s="30">
        <v>0</v>
      </c>
      <c r="F50" s="30">
        <f t="shared" si="180"/>
        <v>1</v>
      </c>
      <c r="G50" s="30">
        <f t="shared" si="181"/>
        <v>1</v>
      </c>
      <c r="H50" s="30">
        <v>7.7684700489044189E-2</v>
      </c>
      <c r="I50" s="37">
        <f t="shared" si="10"/>
        <v>0.57999999999999996</v>
      </c>
      <c r="J50" s="37">
        <f t="shared" si="11"/>
        <v>0.57999999999999996</v>
      </c>
      <c r="K50" s="84"/>
      <c r="L50" s="71"/>
      <c r="M50" s="87"/>
      <c r="N50" s="47"/>
      <c r="O50" s="47"/>
      <c r="P50" s="47"/>
      <c r="Q50" s="54">
        <f t="shared" ref="Q50" si="197">MIN($B50,_xlfn.XLOOKUP($A50,agnos,tope_base)*UF)*12*I50*$X$2</f>
        <v>541836.36569952813</v>
      </c>
      <c r="R50" s="54">
        <f t="shared" ref="R50" si="198">MIN($B50,_xlfn.XLOOKUP($A50,agnos,tope_base)*UF)*12*J50*$X$2</f>
        <v>541836.36569952813</v>
      </c>
      <c r="S50" s="54">
        <f t="shared" ref="S50" si="199">MIN($B50,_xlfn.XLOOKUP($A50,agnos,tope_base)*UF)*12*I50*$X$2</f>
        <v>541836.36569952813</v>
      </c>
      <c r="T50" s="54">
        <f t="shared" ref="T50" si="200">MIN($B50,_xlfn.XLOOKUP($A50,agnos,tope_base)*UF)*12*J50*$X$2</f>
        <v>541836.36569952813</v>
      </c>
      <c r="U50" s="47"/>
      <c r="V50" s="47"/>
      <c r="W50" s="47"/>
      <c r="X50" s="54">
        <f t="shared" si="194"/>
        <v>8099581.5341533469</v>
      </c>
      <c r="Y50" s="54">
        <f t="shared" si="195"/>
        <v>8099581.5341533469</v>
      </c>
      <c r="Z50" s="54">
        <f t="shared" si="27"/>
        <v>8099581.5341533469</v>
      </c>
      <c r="AA50" s="54">
        <f t="shared" si="28"/>
        <v>8099581.5341533469</v>
      </c>
      <c r="AG50" s="52">
        <f t="shared" si="186"/>
        <v>0</v>
      </c>
      <c r="AH50" s="52">
        <f t="shared" si="187"/>
        <v>0</v>
      </c>
      <c r="AI50" s="52">
        <f t="shared" si="17"/>
        <v>0</v>
      </c>
      <c r="AJ50" s="52">
        <f t="shared" si="18"/>
        <v>0</v>
      </c>
      <c r="AK50" s="30"/>
      <c r="AL50" s="30"/>
      <c r="AM50" s="30"/>
      <c r="AN50" s="30"/>
      <c r="AO50" s="30"/>
      <c r="AP50" s="30"/>
      <c r="AS50" s="39"/>
      <c r="AT50" s="47"/>
      <c r="AU50" s="47"/>
      <c r="AV50" s="52">
        <f t="shared" si="19"/>
        <v>0</v>
      </c>
      <c r="AW50" s="52">
        <f t="shared" si="188"/>
        <v>0</v>
      </c>
      <c r="AX50" s="39"/>
      <c r="AY50" s="39"/>
    </row>
    <row r="51" spans="1:51" x14ac:dyDescent="0.25">
      <c r="A51" s="30">
        <v>2016</v>
      </c>
      <c r="B51" s="33">
        <f>w_uf*UF*Parámetros!C38</f>
        <v>792334.44954061578</v>
      </c>
      <c r="C51" s="30">
        <f t="shared" ref="C51" si="201">IF(AND(A51-a_nac&lt;=110,A51-a_nac&gt;0),A51-a_nac,"")</f>
        <v>37</v>
      </c>
      <c r="D51" s="30">
        <f>((A51=Inputs!$C$12)*(Inputs!$D$12) + (A51=Inputs!$C$13)*(Inputs!$D$13) + (A51=Inputs!$C$14)*(Inputs!$D$14)) *(A51 &gt;= a_afil)*(A51&gt;=2024)</f>
        <v>0</v>
      </c>
      <c r="E51" s="30">
        <v>0</v>
      </c>
      <c r="F51" s="30">
        <f t="shared" si="180"/>
        <v>1</v>
      </c>
      <c r="G51" s="30">
        <f t="shared" si="181"/>
        <v>1</v>
      </c>
      <c r="H51" s="30">
        <v>0.43275952339172363</v>
      </c>
      <c r="I51" s="37">
        <f t="shared" si="10"/>
        <v>0.57999999999999996</v>
      </c>
      <c r="J51" s="37">
        <f t="shared" si="11"/>
        <v>0.57999999999999996</v>
      </c>
      <c r="K51" s="84"/>
      <c r="L51" s="71"/>
      <c r="M51" s="87"/>
      <c r="N51" s="47"/>
      <c r="O51" s="47"/>
      <c r="P51" s="47"/>
      <c r="Q51" s="54">
        <f t="shared" ref="Q51" si="202">MIN($B51,_xlfn.XLOOKUP($A51,agnos,tope_base)*UF)*12*I51*$X$2</f>
        <v>551464.77688026847</v>
      </c>
      <c r="R51" s="54">
        <f t="shared" ref="R51" si="203">MIN($B51,_xlfn.XLOOKUP($A51,agnos,tope_base)*UF)*12*J51*$X$2</f>
        <v>551464.77688026847</v>
      </c>
      <c r="S51" s="54">
        <f t="shared" ref="S51" si="204">MIN($B51,_xlfn.XLOOKUP($A51,agnos,tope_base)*UF)*12*I51*$X$2</f>
        <v>551464.77688026847</v>
      </c>
      <c r="T51" s="54">
        <f t="shared" ref="T51" si="205">MIN($B51,_xlfn.XLOOKUP($A51,agnos,tope_base)*UF)*12*J51*$X$2</f>
        <v>551464.77688026847</v>
      </c>
      <c r="U51" s="47"/>
      <c r="V51" s="47"/>
      <c r="W51" s="47"/>
      <c r="X51" s="54">
        <f t="shared" si="194"/>
        <v>8825997.2721713278</v>
      </c>
      <c r="Y51" s="54">
        <f t="shared" si="195"/>
        <v>8825997.2721713278</v>
      </c>
      <c r="Z51" s="54">
        <f t="shared" si="27"/>
        <v>8825997.2721713278</v>
      </c>
      <c r="AA51" s="54">
        <f t="shared" si="28"/>
        <v>8825997.2721713278</v>
      </c>
      <c r="AG51" s="52">
        <f t="shared" si="186"/>
        <v>0</v>
      </c>
      <c r="AH51" s="52">
        <f t="shared" si="187"/>
        <v>0</v>
      </c>
      <c r="AI51" s="52">
        <f t="shared" si="17"/>
        <v>0</v>
      </c>
      <c r="AJ51" s="52">
        <f t="shared" si="18"/>
        <v>0</v>
      </c>
      <c r="AK51" s="30"/>
      <c r="AL51" s="30"/>
      <c r="AM51" s="30"/>
      <c r="AN51" s="30"/>
      <c r="AO51" s="30"/>
      <c r="AP51" s="30"/>
      <c r="AS51" s="39"/>
      <c r="AT51" s="47"/>
      <c r="AU51" s="47"/>
      <c r="AV51" s="52">
        <f t="shared" si="19"/>
        <v>0</v>
      </c>
      <c r="AW51" s="52">
        <f t="shared" si="188"/>
        <v>0</v>
      </c>
      <c r="AX51" s="39"/>
      <c r="AY51" s="39"/>
    </row>
    <row r="52" spans="1:51" x14ac:dyDescent="0.25">
      <c r="A52" s="30">
        <v>2017</v>
      </c>
      <c r="B52" s="33">
        <f>w_uf*UF*Parámetros!C39</f>
        <v>803385.12877850304</v>
      </c>
      <c r="C52" s="30">
        <f t="shared" ref="C52" si="206">IF(AND(A52-a_nac&lt;=110,A52-a_nac&gt;0),A52-a_nac,"")</f>
        <v>38</v>
      </c>
      <c r="D52" s="30">
        <f>((A52=Inputs!$C$12)*(Inputs!$D$12) + (A52=Inputs!$C$13)*(Inputs!$D$13) + (A52=Inputs!$C$14)*(Inputs!$D$14)) *(A52 &gt;= a_afil)*(A52&gt;=2024)</f>
        <v>0</v>
      </c>
      <c r="E52" s="30">
        <v>0</v>
      </c>
      <c r="F52" s="30">
        <f t="shared" si="180"/>
        <v>1</v>
      </c>
      <c r="G52" s="30">
        <f t="shared" si="181"/>
        <v>1</v>
      </c>
      <c r="H52" s="30">
        <v>0.9592708945274353</v>
      </c>
      <c r="I52" s="37">
        <f t="shared" si="10"/>
        <v>0.57999999999999996</v>
      </c>
      <c r="J52" s="37">
        <f t="shared" si="11"/>
        <v>0.57999999999999996</v>
      </c>
      <c r="K52" s="84"/>
      <c r="L52" s="71"/>
      <c r="M52" s="87"/>
      <c r="N52" s="47"/>
      <c r="O52" s="47"/>
      <c r="P52" s="47"/>
      <c r="Q52" s="54">
        <f t="shared" ref="Q52:Q55" si="207">MIN($B52,_xlfn.XLOOKUP($A52,agnos,tope_base)*UF)*12*I52*$X$2</f>
        <v>559156.04962983809</v>
      </c>
      <c r="R52" s="54">
        <f t="shared" ref="R52:R55" si="208">MIN($B52,_xlfn.XLOOKUP($A52,agnos,tope_base)*UF)*12*J52*$X$2</f>
        <v>559156.04962983809</v>
      </c>
      <c r="S52" s="54">
        <f t="shared" ref="S52:S55" si="209">MIN($B52,_xlfn.XLOOKUP($A52,agnos,tope_base)*UF)*12*I52*$X$2</f>
        <v>559156.04962983809</v>
      </c>
      <c r="T52" s="54">
        <f t="shared" ref="T52:T55" si="210">MIN($B52,_xlfn.XLOOKUP($A52,agnos,tope_base)*UF)*12*J52*$X$2</f>
        <v>559156.04962983809</v>
      </c>
      <c r="U52" s="47"/>
      <c r="V52" s="176"/>
      <c r="W52" s="176"/>
      <c r="X52" s="54">
        <f t="shared" si="194"/>
        <v>9538725.6743369475</v>
      </c>
      <c r="Y52" s="54">
        <f t="shared" si="195"/>
        <v>9538725.6743369475</v>
      </c>
      <c r="Z52" s="54">
        <f t="shared" si="27"/>
        <v>9538725.6743369475</v>
      </c>
      <c r="AA52" s="54">
        <f t="shared" si="28"/>
        <v>9538725.6743369475</v>
      </c>
      <c r="AG52" s="52">
        <f t="shared" si="186"/>
        <v>0</v>
      </c>
      <c r="AH52" s="52">
        <f t="shared" si="187"/>
        <v>0</v>
      </c>
      <c r="AI52" s="52">
        <f t="shared" si="17"/>
        <v>0</v>
      </c>
      <c r="AJ52" s="52">
        <f t="shared" si="18"/>
        <v>0</v>
      </c>
      <c r="AK52" s="30"/>
      <c r="AL52" s="30"/>
      <c r="AM52" s="30"/>
      <c r="AN52" s="30"/>
      <c r="AO52" s="30"/>
      <c r="AP52" s="30"/>
      <c r="AS52" s="39"/>
      <c r="AT52" s="176"/>
      <c r="AU52" s="176"/>
      <c r="AV52" s="52">
        <f t="shared" si="19"/>
        <v>0</v>
      </c>
      <c r="AW52" s="52">
        <f t="shared" si="188"/>
        <v>0</v>
      </c>
      <c r="AX52" s="39"/>
      <c r="AY52" s="39"/>
    </row>
    <row r="53" spans="1:51" x14ac:dyDescent="0.25">
      <c r="A53" s="30">
        <v>2018</v>
      </c>
      <c r="B53" s="33">
        <f>w_uf*UF*Parámetros!C40</f>
        <v>822725.68790506921</v>
      </c>
      <c r="C53" s="30">
        <f t="shared" ref="C53:C56" si="211">IF(AND(A53-a_nac&lt;=110,A53-a_nac&gt;0),A53-a_nac,"")</f>
        <v>39</v>
      </c>
      <c r="D53" s="30">
        <f>((A53=Inputs!$C$12)*(Inputs!$D$12) + (A53=Inputs!$C$13)*(Inputs!$D$13) + (A53=Inputs!$C$14)*(Inputs!$D$14)) *(A53 &gt;= a_afil)*(A53&gt;=2024)</f>
        <v>0</v>
      </c>
      <c r="E53" s="30">
        <v>0</v>
      </c>
      <c r="F53" s="30">
        <f t="shared" si="180"/>
        <v>1</v>
      </c>
      <c r="G53" s="30">
        <f t="shared" si="181"/>
        <v>1</v>
      </c>
      <c r="H53" s="30">
        <v>0.54202926158905029</v>
      </c>
      <c r="I53" s="37">
        <f t="shared" si="10"/>
        <v>0.57999999999999996</v>
      </c>
      <c r="J53" s="37">
        <f t="shared" si="11"/>
        <v>0.57999999999999996</v>
      </c>
      <c r="K53" s="84"/>
      <c r="L53" s="71"/>
      <c r="M53" s="87"/>
      <c r="N53" s="47"/>
      <c r="O53" s="47"/>
      <c r="P53" s="47"/>
      <c r="Q53" s="54">
        <f t="shared" si="207"/>
        <v>572617.07878192805</v>
      </c>
      <c r="R53" s="54">
        <f t="shared" si="208"/>
        <v>572617.07878192805</v>
      </c>
      <c r="S53" s="54">
        <f t="shared" si="209"/>
        <v>572617.07878192805</v>
      </c>
      <c r="T53" s="54">
        <f t="shared" si="210"/>
        <v>572617.07878192805</v>
      </c>
      <c r="U53" s="47"/>
      <c r="V53" s="47"/>
      <c r="W53" s="47"/>
      <c r="X53" s="54">
        <f t="shared" si="194"/>
        <v>10827701.051261581</v>
      </c>
      <c r="Y53" s="54">
        <f t="shared" si="195"/>
        <v>10827701.051261581</v>
      </c>
      <c r="Z53" s="54">
        <f t="shared" si="27"/>
        <v>10827701.051261581</v>
      </c>
      <c r="AA53" s="54">
        <f t="shared" si="28"/>
        <v>10827701.051261581</v>
      </c>
      <c r="AG53" s="52">
        <f t="shared" si="186"/>
        <v>0</v>
      </c>
      <c r="AH53" s="52">
        <f t="shared" si="187"/>
        <v>0</v>
      </c>
      <c r="AI53" s="52">
        <f t="shared" si="17"/>
        <v>0</v>
      </c>
      <c r="AJ53" s="52">
        <f t="shared" si="18"/>
        <v>0</v>
      </c>
      <c r="AK53" s="30"/>
      <c r="AL53" s="30"/>
      <c r="AM53" s="30"/>
      <c r="AN53" s="30"/>
      <c r="AO53" s="30"/>
      <c r="AP53" s="30"/>
      <c r="AS53" s="39"/>
      <c r="AT53" s="47"/>
      <c r="AU53" s="47"/>
      <c r="AV53" s="52">
        <f t="shared" si="19"/>
        <v>0</v>
      </c>
      <c r="AW53" s="52">
        <f t="shared" si="188"/>
        <v>0</v>
      </c>
      <c r="AX53" s="39"/>
      <c r="AY53" s="39"/>
    </row>
    <row r="54" spans="1:51" x14ac:dyDescent="0.25">
      <c r="A54" s="30">
        <v>2019</v>
      </c>
      <c r="B54" s="33">
        <f>w_uf*UF*Parámetros!C41</f>
        <v>838302.88098108873</v>
      </c>
      <c r="C54" s="30">
        <f t="shared" si="211"/>
        <v>40</v>
      </c>
      <c r="D54" s="30">
        <f>((A54=Inputs!$C$12)*(Inputs!$D$12) + (A54=Inputs!$C$13)*(Inputs!$D$13) + (A54=Inputs!$C$14)*(Inputs!$D$14)) *(A54 &gt;= a_afil)*(A54&gt;=2024)</f>
        <v>0</v>
      </c>
      <c r="E54" s="30">
        <v>0</v>
      </c>
      <c r="F54" s="30">
        <f t="shared" si="180"/>
        <v>1</v>
      </c>
      <c r="G54" s="30">
        <f t="shared" si="181"/>
        <v>1</v>
      </c>
      <c r="H54" s="30">
        <v>0.49437671899795532</v>
      </c>
      <c r="I54" s="37">
        <f t="shared" si="10"/>
        <v>0.57999999999999996</v>
      </c>
      <c r="J54" s="37">
        <f t="shared" si="11"/>
        <v>0.57999999999999996</v>
      </c>
      <c r="K54" s="84"/>
      <c r="L54" s="71"/>
      <c r="M54" s="87"/>
      <c r="N54" s="47"/>
      <c r="O54" s="47"/>
      <c r="P54" s="47"/>
      <c r="Q54" s="54">
        <f t="shared" si="207"/>
        <v>583458.80516283773</v>
      </c>
      <c r="R54" s="54">
        <f t="shared" si="208"/>
        <v>583458.80516283773</v>
      </c>
      <c r="S54" s="54">
        <f t="shared" si="209"/>
        <v>583458.80516283773</v>
      </c>
      <c r="T54" s="54">
        <f t="shared" si="210"/>
        <v>583458.80516283773</v>
      </c>
      <c r="U54" s="47"/>
      <c r="V54" s="47"/>
      <c r="W54" s="47"/>
      <c r="X54" s="54">
        <f t="shared" si="194"/>
        <v>11314793.317068191</v>
      </c>
      <c r="Y54" s="54">
        <f t="shared" si="195"/>
        <v>11314793.317068191</v>
      </c>
      <c r="Z54" s="54">
        <f t="shared" si="27"/>
        <v>11314793.317068191</v>
      </c>
      <c r="AA54" s="54">
        <f t="shared" si="28"/>
        <v>11314793.317068191</v>
      </c>
      <c r="AG54" s="52">
        <f t="shared" si="186"/>
        <v>0</v>
      </c>
      <c r="AH54" s="52">
        <f t="shared" si="187"/>
        <v>0</v>
      </c>
      <c r="AI54" s="52">
        <f t="shared" si="17"/>
        <v>0</v>
      </c>
      <c r="AJ54" s="52">
        <f t="shared" si="18"/>
        <v>0</v>
      </c>
      <c r="AK54" s="30"/>
      <c r="AL54" s="30"/>
      <c r="AM54" s="30"/>
      <c r="AN54" s="30"/>
      <c r="AO54" s="30"/>
      <c r="AP54" s="30"/>
      <c r="AS54" s="39"/>
      <c r="AT54" s="47"/>
      <c r="AU54" s="47"/>
      <c r="AV54" s="52">
        <f t="shared" si="19"/>
        <v>0</v>
      </c>
      <c r="AW54" s="52">
        <f t="shared" si="188"/>
        <v>0</v>
      </c>
      <c r="AX54" s="39"/>
      <c r="AY54" s="39"/>
    </row>
    <row r="55" spans="1:51" x14ac:dyDescent="0.25">
      <c r="A55" s="30">
        <v>2020</v>
      </c>
      <c r="B55" s="33">
        <f>w_uf*UF*Parámetros!C42</f>
        <v>855481.18804282811</v>
      </c>
      <c r="C55" s="30">
        <f t="shared" si="211"/>
        <v>41</v>
      </c>
      <c r="D55" s="30">
        <f>((A55=Inputs!$C$12)*(Inputs!$D$12) + (A55=Inputs!$C$13)*(Inputs!$D$13) + (A55=Inputs!$C$14)*(Inputs!$D$14)) *(A55 &gt;= a_afil)*(A55&gt;=2024)</f>
        <v>0</v>
      </c>
      <c r="E55" s="30">
        <v>0</v>
      </c>
      <c r="F55" s="30">
        <f t="shared" si="180"/>
        <v>1</v>
      </c>
      <c r="G55" s="30">
        <f t="shared" si="181"/>
        <v>1</v>
      </c>
      <c r="H55" s="30">
        <v>0.97296667098999023</v>
      </c>
      <c r="I55" s="37">
        <f t="shared" si="10"/>
        <v>0.57999999999999996</v>
      </c>
      <c r="J55" s="37">
        <f t="shared" si="11"/>
        <v>0.57999999999999996</v>
      </c>
      <c r="K55" s="84"/>
      <c r="L55" s="71"/>
      <c r="M55" s="97"/>
      <c r="N55" s="98"/>
      <c r="O55" s="98"/>
      <c r="P55" s="98"/>
      <c r="Q55" s="192">
        <f t="shared" si="207"/>
        <v>595414.90687780839</v>
      </c>
      <c r="R55" s="192">
        <f t="shared" si="208"/>
        <v>595414.90687780839</v>
      </c>
      <c r="S55" s="192">
        <f t="shared" si="209"/>
        <v>595414.90687780839</v>
      </c>
      <c r="T55" s="192">
        <f t="shared" si="210"/>
        <v>595414.90687780839</v>
      </c>
      <c r="U55" s="98"/>
      <c r="V55" s="98"/>
      <c r="W55" s="98"/>
      <c r="X55" s="192">
        <f t="shared" si="194"/>
        <v>13602901.3041794</v>
      </c>
      <c r="Y55" s="192">
        <f t="shared" si="195"/>
        <v>13602901.3041794</v>
      </c>
      <c r="Z55" s="192">
        <f t="shared" si="27"/>
        <v>13602901.3041794</v>
      </c>
      <c r="AA55" s="192">
        <f t="shared" si="28"/>
        <v>13602901.3041794</v>
      </c>
      <c r="AB55" s="96"/>
      <c r="AC55" s="96"/>
      <c r="AD55" s="96"/>
      <c r="AE55" s="96"/>
      <c r="AF55" s="96"/>
      <c r="AG55" s="189">
        <f t="shared" si="186"/>
        <v>0</v>
      </c>
      <c r="AH55" s="52">
        <f t="shared" si="187"/>
        <v>0</v>
      </c>
      <c r="AI55" s="189">
        <f t="shared" si="17"/>
        <v>0</v>
      </c>
      <c r="AJ55" s="189">
        <f t="shared" si="18"/>
        <v>0</v>
      </c>
      <c r="AK55" s="30"/>
      <c r="AL55" s="30"/>
      <c r="AM55" s="30"/>
      <c r="AN55" s="30"/>
      <c r="AO55" s="30"/>
      <c r="AP55" s="30"/>
      <c r="AS55" s="39"/>
      <c r="AT55" s="98"/>
      <c r="AU55" s="98"/>
      <c r="AV55" s="189">
        <f t="shared" si="19"/>
        <v>0</v>
      </c>
      <c r="AW55" s="189">
        <f t="shared" si="188"/>
        <v>0</v>
      </c>
      <c r="AX55" s="39"/>
      <c r="AY55" s="39"/>
    </row>
    <row r="56" spans="1:51" x14ac:dyDescent="0.25">
      <c r="A56" s="30">
        <v>2021</v>
      </c>
      <c r="B56" s="33">
        <f>w_uf*UF*Parámetros!C43</f>
        <v>860479.05786741071</v>
      </c>
      <c r="C56" s="30">
        <f t="shared" si="211"/>
        <v>42</v>
      </c>
      <c r="D56" s="30">
        <f>((A56=Inputs!$C$12)*(Inputs!$D$12) + (A56=Inputs!$C$13)*(Inputs!$D$13) + (A56=Inputs!$C$14)*(Inputs!$D$14)) *(A56 &gt;= a_afil)*(A56&gt;=2024)</f>
        <v>0</v>
      </c>
      <c r="E56" s="30">
        <v>0</v>
      </c>
      <c r="F56" s="30">
        <f t="shared" si="180"/>
        <v>1</v>
      </c>
      <c r="G56" s="30">
        <f t="shared" si="181"/>
        <v>1</v>
      </c>
      <c r="H56" s="30">
        <v>0.2177998423576355</v>
      </c>
      <c r="I56" s="37">
        <f t="shared" si="10"/>
        <v>0.57999999999999996</v>
      </c>
      <c r="J56" s="37">
        <f t="shared" si="11"/>
        <v>0.57999999999999996</v>
      </c>
      <c r="K56" s="84"/>
      <c r="L56" s="71"/>
      <c r="M56" s="47"/>
      <c r="N56" s="47"/>
      <c r="O56" s="47"/>
      <c r="P56" s="47"/>
      <c r="Q56" s="54">
        <f t="shared" ref="Q56" si="212">MIN($B56,_xlfn.XLOOKUP($A56,agnos,tope_base)*UF)*12*I56*$X$2</f>
        <v>598893.42427571793</v>
      </c>
      <c r="R56" s="54">
        <f t="shared" ref="R56" si="213">MIN($B56,_xlfn.XLOOKUP($A56,agnos,tope_base)*UF)*12*J56*$X$2</f>
        <v>598893.42427571793</v>
      </c>
      <c r="S56" s="54">
        <f t="shared" ref="S56" si="214">MIN($B56,_xlfn.XLOOKUP($A56,agnos,tope_base)*UF)*12*I56*$X$2</f>
        <v>598893.42427571793</v>
      </c>
      <c r="T56" s="54">
        <f t="shared" ref="T56" si="215">MIN($B56,_xlfn.XLOOKUP($A56,agnos,tope_base)*UF)*12*J56*$X$2</f>
        <v>598893.42427571793</v>
      </c>
      <c r="U56" s="47"/>
      <c r="V56" s="47"/>
      <c r="W56" s="47"/>
      <c r="X56" s="54">
        <f t="shared" si="194"/>
        <v>14789440.064795667</v>
      </c>
      <c r="Y56" s="54">
        <f t="shared" si="195"/>
        <v>14789440.064795667</v>
      </c>
      <c r="Z56" s="54">
        <f t="shared" si="27"/>
        <v>14789440.064795667</v>
      </c>
      <c r="AA56" s="54">
        <f t="shared" si="28"/>
        <v>14789440.064795667</v>
      </c>
      <c r="AG56" s="52">
        <f t="shared" si="186"/>
        <v>0</v>
      </c>
      <c r="AH56" s="52">
        <f t="shared" si="187"/>
        <v>0</v>
      </c>
      <c r="AI56" s="52">
        <f t="shared" si="17"/>
        <v>0</v>
      </c>
      <c r="AJ56" s="52">
        <f t="shared" si="18"/>
        <v>0</v>
      </c>
      <c r="AK56" s="30"/>
      <c r="AL56" s="30"/>
      <c r="AM56" s="30"/>
      <c r="AN56" s="30"/>
      <c r="AO56" s="30"/>
      <c r="AP56" s="30"/>
      <c r="AS56" s="39"/>
      <c r="AT56" s="47"/>
      <c r="AU56" s="47"/>
      <c r="AV56" s="189">
        <f t="shared" si="19"/>
        <v>0</v>
      </c>
      <c r="AW56" s="189">
        <f t="shared" si="188"/>
        <v>0</v>
      </c>
      <c r="AX56" s="39"/>
      <c r="AY56" s="39"/>
    </row>
    <row r="57" spans="1:51" x14ac:dyDescent="0.25">
      <c r="A57" s="30">
        <v>2022</v>
      </c>
      <c r="B57" s="33">
        <f>w_uf*UF*Parámetros!C44</f>
        <v>869749.058934264</v>
      </c>
      <c r="C57" s="30">
        <f t="shared" ref="C57" si="216">IF(AND(A57-a_nac&lt;=110,A57-a_nac&gt;0),A57-a_nac,"")</f>
        <v>43</v>
      </c>
      <c r="D57" s="30">
        <f>((A57=Inputs!$C$12)*(Inputs!$D$12) + (A57=Inputs!$C$13)*(Inputs!$D$13) + (A57=Inputs!$C$14)*(Inputs!$D$14)) *(A57 &gt;= a_afil)*(A57&gt;=2024)</f>
        <v>0</v>
      </c>
      <c r="E57" s="30">
        <v>0</v>
      </c>
      <c r="F57" s="30">
        <f t="shared" si="180"/>
        <v>1</v>
      </c>
      <c r="G57" s="30">
        <f t="shared" si="181"/>
        <v>1</v>
      </c>
      <c r="H57" s="30">
        <v>0.37899124622344971</v>
      </c>
      <c r="I57" s="37">
        <f t="shared" si="10"/>
        <v>0.57999999999999996</v>
      </c>
      <c r="J57" s="37">
        <f t="shared" si="11"/>
        <v>0.57999999999999996</v>
      </c>
      <c r="K57" s="84"/>
      <c r="L57" s="71"/>
      <c r="M57" s="47"/>
      <c r="N57" s="47"/>
      <c r="O57" s="47"/>
      <c r="P57" s="47"/>
      <c r="Q57" s="54">
        <f t="shared" ref="Q57:Q58" si="217">MIN($B57,_xlfn.XLOOKUP($A57,agnos,tope_base)*UF)*12*I57*$X$2</f>
        <v>605345.34501824772</v>
      </c>
      <c r="R57" s="54">
        <f t="shared" ref="R57:R58" si="218">MIN($B57,_xlfn.XLOOKUP($A57,agnos,tope_base)*UF)*12*J57*$X$2</f>
        <v>605345.34501824772</v>
      </c>
      <c r="S57" s="54">
        <f t="shared" ref="S57:S58" si="219">MIN($B57,_xlfn.XLOOKUP($A57,agnos,tope_base)*UF)*12*I57*$X$2</f>
        <v>605345.34501824772</v>
      </c>
      <c r="T57" s="54">
        <f t="shared" ref="T57:T58" si="220">MIN($B57,_xlfn.XLOOKUP($A57,agnos,tope_base)*UF)*12*J57*$X$2</f>
        <v>605345.34501824772</v>
      </c>
      <c r="U57" s="47"/>
      <c r="V57" s="178"/>
      <c r="W57" s="47"/>
      <c r="X57" s="54">
        <f t="shared" si="194"/>
        <v>15047233.568291217</v>
      </c>
      <c r="Y57" s="54">
        <f t="shared" si="195"/>
        <v>15047233.568291217</v>
      </c>
      <c r="Z57" s="54">
        <f t="shared" si="27"/>
        <v>15047233.568291217</v>
      </c>
      <c r="AA57" s="54">
        <f t="shared" si="28"/>
        <v>15047233.568291217</v>
      </c>
      <c r="AG57" s="52">
        <f t="shared" si="186"/>
        <v>0</v>
      </c>
      <c r="AH57" s="52">
        <f t="shared" si="187"/>
        <v>0</v>
      </c>
      <c r="AI57" s="52">
        <f t="shared" si="17"/>
        <v>0</v>
      </c>
      <c r="AJ57" s="52">
        <f t="shared" si="18"/>
        <v>0</v>
      </c>
      <c r="AK57" s="30"/>
      <c r="AL57" s="30"/>
      <c r="AM57" s="30"/>
      <c r="AN57" s="30"/>
      <c r="AO57" s="30"/>
      <c r="AP57" s="30"/>
      <c r="AS57" s="39"/>
      <c r="AT57" s="178"/>
      <c r="AU57" s="47"/>
      <c r="AV57" s="52">
        <f t="shared" si="19"/>
        <v>0</v>
      </c>
      <c r="AW57" s="52">
        <f t="shared" si="188"/>
        <v>0</v>
      </c>
      <c r="AX57" s="39"/>
      <c r="AY57" s="39"/>
    </row>
    <row r="58" spans="1:51" s="94" customFormat="1" x14ac:dyDescent="0.25">
      <c r="A58" s="125">
        <v>2023</v>
      </c>
      <c r="B58" s="126">
        <f>w_uf*UF*Parámetros!C45</f>
        <v>849382.71604938281</v>
      </c>
      <c r="C58" s="125">
        <f t="shared" ref="C58:C79" si="221">IF(AND(A58-a_nac&lt;=110,A58-a_nac&gt;0),A58-a_nac,"")</f>
        <v>44</v>
      </c>
      <c r="D58" s="125">
        <f>((A58=Inputs!$C$12)*(Inputs!$D$12) + (A58=Inputs!$C$13)*(Inputs!$D$13) + (A58=Inputs!$C$14)*(Inputs!$D$14)) *(A58 &gt;= a_afil)*(A58&gt;=2024)</f>
        <v>0</v>
      </c>
      <c r="E58" s="125">
        <v>0</v>
      </c>
      <c r="F58" s="125">
        <f t="shared" si="180"/>
        <v>1</v>
      </c>
      <c r="G58" s="125">
        <f t="shared" si="181"/>
        <v>1</v>
      </c>
      <c r="H58" s="125">
        <v>0.39584428071975708</v>
      </c>
      <c r="I58" s="127">
        <f t="shared" si="10"/>
        <v>0.57999999999999996</v>
      </c>
      <c r="J58" s="127">
        <f t="shared" si="11"/>
        <v>0.57999999999999996</v>
      </c>
      <c r="K58" s="125"/>
      <c r="L58" s="125"/>
      <c r="M58" s="128"/>
      <c r="N58" s="129"/>
      <c r="O58" s="129"/>
      <c r="P58" s="129"/>
      <c r="Q58" s="193">
        <f t="shared" si="217"/>
        <v>591170.37037037034</v>
      </c>
      <c r="R58" s="193">
        <f t="shared" si="218"/>
        <v>591170.37037037034</v>
      </c>
      <c r="S58" s="142">
        <f t="shared" si="219"/>
        <v>591170.37037037034</v>
      </c>
      <c r="T58" s="142">
        <f t="shared" si="220"/>
        <v>591170.37037037034</v>
      </c>
      <c r="U58" s="129"/>
      <c r="V58" s="205"/>
      <c r="W58" s="205"/>
      <c r="X58" s="193">
        <f t="shared" si="194"/>
        <v>14252553.727021966</v>
      </c>
      <c r="Y58" s="193">
        <f t="shared" si="195"/>
        <v>14252553.727021966</v>
      </c>
      <c r="Z58" s="193">
        <f t="shared" si="27"/>
        <v>14252553.727021966</v>
      </c>
      <c r="AA58" s="193">
        <f t="shared" si="28"/>
        <v>14252553.727021966</v>
      </c>
      <c r="AB58" s="125"/>
      <c r="AC58" s="125"/>
      <c r="AD58" s="125"/>
      <c r="AE58" s="125"/>
      <c r="AF58" s="125"/>
      <c r="AG58" s="190">
        <f t="shared" si="186"/>
        <v>0</v>
      </c>
      <c r="AH58" s="191">
        <f t="shared" si="187"/>
        <v>0</v>
      </c>
      <c r="AI58" s="190">
        <f t="shared" si="17"/>
        <v>0</v>
      </c>
      <c r="AJ58" s="190">
        <f t="shared" si="18"/>
        <v>0</v>
      </c>
      <c r="AK58" s="125"/>
      <c r="AL58" s="125"/>
      <c r="AM58" s="125"/>
      <c r="AN58" s="125"/>
      <c r="AO58" s="125"/>
      <c r="AP58" s="125"/>
      <c r="AQ58" s="125"/>
      <c r="AR58" s="125"/>
      <c r="AS58" s="95"/>
      <c r="AT58" s="98"/>
      <c r="AU58" s="98"/>
      <c r="AV58" s="191">
        <f t="shared" si="19"/>
        <v>0</v>
      </c>
      <c r="AW58" s="191">
        <f t="shared" si="188"/>
        <v>0</v>
      </c>
      <c r="AX58" s="95"/>
      <c r="AY58" s="95"/>
    </row>
    <row r="59" spans="1:51" s="69" customFormat="1" x14ac:dyDescent="0.25">
      <c r="A59" s="69">
        <v>2024</v>
      </c>
      <c r="B59" s="66">
        <f>w_uf*UF*Parámetros!C46</f>
        <v>860000</v>
      </c>
      <c r="C59" s="69">
        <f t="shared" si="221"/>
        <v>45</v>
      </c>
      <c r="D59" s="69">
        <f>((A59=Inputs!$C$12)*(Inputs!$D$12) + (A59=Inputs!$C$13)*(Inputs!$D$13) + (A59=Inputs!$C$14)*(Inputs!$D$14)) *(A59 &gt;= a_afil)*(A59&gt;=2024)</f>
        <v>0</v>
      </c>
      <c r="E59" s="69">
        <f>MIN(1,(A59=Inputs!$C$19)*Inputs!$D$19+(A59=Inputs!$C$20)*Inputs!$D$20+(A59=Inputs!$C$21)*Inputs!$D$21 * (A59 &gt;= a_afil))</f>
        <v>0</v>
      </c>
      <c r="F59" s="69">
        <f t="shared" si="180"/>
        <v>1</v>
      </c>
      <c r="G59" s="69">
        <f t="shared" si="181"/>
        <v>1</v>
      </c>
      <c r="H59" s="69">
        <v>0.28150343894958496</v>
      </c>
      <c r="I59" s="67">
        <f t="shared" ref="I59:I89" si="222">IF(F59=1,+dens_cot,0)</f>
        <v>0.57999999999999996</v>
      </c>
      <c r="J59" s="67">
        <f t="shared" ref="J59:J89" si="223">IF(G59=1,+dens_mujer,0)</f>
        <v>0.57999999999999996</v>
      </c>
      <c r="K59" s="65">
        <f>1*OR(Inputs!$D$17=$A59,Inputs!$E$17=$A59)*($E59=0)*(F59=1)</f>
        <v>0</v>
      </c>
      <c r="L59" s="65">
        <f>1*OR(Inputs!$D$17=$A59,Inputs!$E$17=$A59)*($E59=0)*(G59=1)</f>
        <v>0</v>
      </c>
      <c r="M59" s="90">
        <f t="shared" ref="M59:N63" si="224">MIN($B59,_xlfn.XLOOKUP($A59,agnos,tope_ref_ind)*UF)*12*I59*$AY59</f>
        <v>0</v>
      </c>
      <c r="N59" s="90">
        <f t="shared" si="224"/>
        <v>0</v>
      </c>
      <c r="O59" s="91">
        <f>Parámetros!$E46*12*I59*$AY59</f>
        <v>0</v>
      </c>
      <c r="P59" s="91">
        <f>Parámetros!$E46*12*J59*$AY59</f>
        <v>0</v>
      </c>
      <c r="Q59" s="70">
        <f t="shared" ref="Q59:Q122" si="225">MIN($B59,_xlfn.XLOOKUP($A59,agnos,tope_base)*UF)*12*I59*$X$2</f>
        <v>598560</v>
      </c>
      <c r="R59" s="70">
        <f t="shared" ref="R59:R122" si="226">MIN($B59,_xlfn.XLOOKUP($A59,agnos,tope_base)*UF)*12*J59*$X$2</f>
        <v>598560</v>
      </c>
      <c r="S59" s="203">
        <f>MIN($B59,_xlfn.XLOOKUP($A59,agnos,tope_ref_ind)*UF) * 12*I59*$X$2</f>
        <v>598560</v>
      </c>
      <c r="T59" s="203">
        <f>MIN($B59,_xlfn.XLOOKUP($A59,agnos,tope_ref_ind)*UF) * 12*J59*$X$2</f>
        <v>598560</v>
      </c>
      <c r="U59" s="177"/>
      <c r="V59" s="91">
        <f>M59*alpha+O59*(1-alpha)+F58*V58*(1+_xlfn.XLOOKUP(MIN(2024,$A58),agnos_rent,rent_base))</f>
        <v>0</v>
      </c>
      <c r="W59" s="91">
        <f>N59*alpha+P59*(1-alpha)+G58*W58*(1+_xlfn.XLOOKUP(MIN(2024,$A58),agnos_rent,rent_base))</f>
        <v>0</v>
      </c>
      <c r="X59" s="70">
        <f t="shared" si="194"/>
        <v>15332850.042995309</v>
      </c>
      <c r="Y59" s="70">
        <f t="shared" si="195"/>
        <v>15332850.042995309</v>
      </c>
      <c r="Z59" s="179">
        <f>S59+IF(F58,Z58*(1+_xlfn.XLOOKUP(MIN(2024,$A58),agnos_rent,rent_base)),0)</f>
        <v>15332850.042995309</v>
      </c>
      <c r="AA59" s="179">
        <f>T59+IF(G58,AA58*(1+_xlfn.XLOOKUP(MIN(2024,$A58),agnos_rent,rent_base)),0)</f>
        <v>15332850.042995309</v>
      </c>
      <c r="AB59" s="204">
        <f>D59*mmater*Parámetros!$G46*$X$5</f>
        <v>0</v>
      </c>
      <c r="AC59" s="204">
        <f>E59*12*Parámetros!$F46*$X$5</f>
        <v>0</v>
      </c>
      <c r="AD59" s="56"/>
      <c r="AE59" s="56"/>
      <c r="AF59" s="175"/>
      <c r="AG59" s="74">
        <f t="shared" si="186"/>
        <v>0</v>
      </c>
      <c r="AH59" s="74">
        <f t="shared" si="187"/>
        <v>0</v>
      </c>
      <c r="AI59" s="56">
        <f t="shared" ref="AI59:AI90" si="227">($A59=D$9)*SUM(V59,Z59)/(12*_xlfn.XLOOKUP(AI$15,sexo_cnu,cnu))</f>
        <v>0</v>
      </c>
      <c r="AJ59" s="56">
        <f t="shared" ref="AJ59:AJ90" si="228">($A59=E$9)*SUM(W59,AA59)/(12*_xlfn.XLOOKUP(AJ$15,sexo_cnu,cnu))</f>
        <v>0</v>
      </c>
      <c r="AK59" s="56"/>
      <c r="AL59" s="56"/>
      <c r="AM59" s="56"/>
      <c r="AN59" s="56"/>
      <c r="AO59" s="56">
        <f t="shared" ref="AO59:AO90" si="229">($A59=E$9)*AB59/(12*_xlfn.XLOOKUP(AO$15,sexo_cnu,cnu_noc))</f>
        <v>0</v>
      </c>
      <c r="AP59" s="56">
        <f t="shared" ref="AP59:AP90" si="230">($A59=E$9)*AC59/(12*_xlfn.XLOOKUP(AP$15,sexo_cnu,cnu_noc))</f>
        <v>0</v>
      </c>
      <c r="AQ59" s="56">
        <f t="shared" ref="AQ59:AQ90" si="231">($A59=D$9)*AD59/(12*_xlfn.XLOOKUP(AQ$15,sexo_cnu,cnu_noc))</f>
        <v>0</v>
      </c>
      <c r="AR59" s="56">
        <f t="shared" ref="AR59:AR90" si="232">($A59=E$9)*AE59/(12*_xlfn.XLOOKUP(AR$15,sexo_cnu,cnu_noc))</f>
        <v>0</v>
      </c>
      <c r="AS59" s="93"/>
      <c r="AT59" s="187">
        <f t="shared" ref="AT59:AT90" si="233">IF($A59=a_nac+edad_ret_h,V59/(12*_xlfn.XLOOKUP(AT$15,sexo_cnu,cnu)),0)</f>
        <v>0</v>
      </c>
      <c r="AU59" s="187">
        <f t="shared" ref="AU59:AU90" si="234">IF($A59=a_nac+edad_ret_m,W59/(12*_xlfn.XLOOKUP(AU$15,sexo_cnu,cnu)),0)</f>
        <v>0</v>
      </c>
      <c r="AV59" s="187">
        <f t="shared" ref="AV59:AV90" si="235">IF($A59=a_nac+edad_ret_h,Z59/(12*_xlfn.XLOOKUP(AV$15,sexo_cnu,cnu)),0)</f>
        <v>0</v>
      </c>
      <c r="AW59" s="187">
        <f t="shared" si="188"/>
        <v>0</v>
      </c>
      <c r="AX59" s="93"/>
      <c r="AY59" s="250">
        <v>0</v>
      </c>
    </row>
    <row r="60" spans="1:51" x14ac:dyDescent="0.25">
      <c r="A60" s="30">
        <v>2025</v>
      </c>
      <c r="B60" s="33">
        <f>w_uf*UF*Parámetros!C47</f>
        <v>870750</v>
      </c>
      <c r="C60" s="30">
        <f t="shared" si="221"/>
        <v>46</v>
      </c>
      <c r="D60" s="30">
        <f>((A60=Inputs!$C$12)*(Inputs!$D$12) + (A60=Inputs!$C$13)*(Inputs!$D$13) + (A60=Inputs!$C$14)*(Inputs!$D$14)) *(A60 &gt;= a_afil)*(A60&gt;=2024)</f>
        <v>0</v>
      </c>
      <c r="E60" s="30">
        <f>MIN(1,(A60=Inputs!$C$19)*Inputs!$D$19+(A60=Inputs!$C$20)*Inputs!$D$20+(A60=Inputs!$C$21)*Inputs!$D$21*(A60 &gt;= a_afil))</f>
        <v>0</v>
      </c>
      <c r="F60" s="30">
        <f t="shared" si="180"/>
        <v>1</v>
      </c>
      <c r="G60" s="30">
        <f t="shared" si="181"/>
        <v>1</v>
      </c>
      <c r="H60" s="30">
        <v>0.50337117910385132</v>
      </c>
      <c r="I60" s="37">
        <f t="shared" si="222"/>
        <v>0.57999999999999996</v>
      </c>
      <c r="J60" s="37">
        <f t="shared" si="223"/>
        <v>0.57999999999999996</v>
      </c>
      <c r="K60" s="30">
        <f>1*OR(Inputs!$D$17=$A60,Inputs!$E$17=$A60)*($E60=0)*(F60=1)</f>
        <v>0</v>
      </c>
      <c r="L60" s="30">
        <f>1*OR(Inputs!$D$17=$A60,Inputs!$E$17=$A60)*($E60=0)*(G60=1)</f>
        <v>0</v>
      </c>
      <c r="M60" s="90">
        <f t="shared" si="224"/>
        <v>0</v>
      </c>
      <c r="N60" s="90">
        <f t="shared" si="224"/>
        <v>0</v>
      </c>
      <c r="O60" s="76">
        <f>Parámetros!$E47*12*I60*$AY60</f>
        <v>0</v>
      </c>
      <c r="P60" s="76">
        <f>Parámetros!$E47*12*J60*$AY60</f>
        <v>0</v>
      </c>
      <c r="Q60" s="70">
        <f t="shared" si="225"/>
        <v>606042</v>
      </c>
      <c r="R60" s="70">
        <f t="shared" si="226"/>
        <v>606042</v>
      </c>
      <c r="S60" s="203">
        <f>MIN($B60,_xlfn.XLOOKUP($A60,agnos,tope_ref_ind)*UF) * 12*I60*$X$2</f>
        <v>606042</v>
      </c>
      <c r="T60" s="203">
        <f>MIN($B60,_xlfn.XLOOKUP($A60,agnos,tope_ref_ind)*UF) * 12*J60*$X$2</f>
        <v>606042</v>
      </c>
      <c r="U60" s="177"/>
      <c r="V60" s="76">
        <f>M60*alpha+O60*(1-alpha)+F59*V59*(1+_xlfn.XLOOKUP(MIN(2024,$A59),agnos_rent,rent_base))</f>
        <v>0</v>
      </c>
      <c r="W60" s="76">
        <f>N60*alpha+P60*(1-alpha)+G59*W59*(1+_xlfn.XLOOKUP(MIN(2024,$A59),agnos_rent,rent_base))</f>
        <v>0</v>
      </c>
      <c r="X60" s="54">
        <f t="shared" si="194"/>
        <v>16457142.374448551</v>
      </c>
      <c r="Y60" s="54">
        <f t="shared" si="195"/>
        <v>16457142.374448551</v>
      </c>
      <c r="Z60" s="76">
        <f>S60+IF(F59,Z59*(1+_xlfn.XLOOKUP(MIN(2024,$A59),agnos_rent,rent_base)),0)</f>
        <v>16457142.374448551</v>
      </c>
      <c r="AA60" s="76">
        <f>T60+IF(G59,AA59*(1+_xlfn.XLOOKUP(MIN(2024,$A59),agnos_rent,rent_base)),0)</f>
        <v>16457142.374448551</v>
      </c>
      <c r="AB60" s="53">
        <f>D60*mmater*Parámetros!$G47*$X$5+AB59*(1+i_noc)</f>
        <v>0</v>
      </c>
      <c r="AC60" s="53">
        <f>E60*12*Parámetros!$F47*$X$5+AC59*(1+i_noc)</f>
        <v>0</v>
      </c>
      <c r="AD60" s="53"/>
      <c r="AE60" s="53"/>
      <c r="AF60" s="175"/>
      <c r="AG60" s="74">
        <f t="shared" si="186"/>
        <v>0</v>
      </c>
      <c r="AH60" s="52">
        <f t="shared" si="187"/>
        <v>0</v>
      </c>
      <c r="AI60" s="56">
        <f t="shared" si="227"/>
        <v>0</v>
      </c>
      <c r="AJ60" s="56">
        <f t="shared" si="228"/>
        <v>0</v>
      </c>
      <c r="AK60" s="56"/>
      <c r="AL60" s="56"/>
      <c r="AM60" s="56"/>
      <c r="AN60" s="56"/>
      <c r="AO60" s="56">
        <f t="shared" si="229"/>
        <v>0</v>
      </c>
      <c r="AP60" s="56">
        <f t="shared" si="230"/>
        <v>0</v>
      </c>
      <c r="AQ60" s="53">
        <f t="shared" si="231"/>
        <v>0</v>
      </c>
      <c r="AR60" s="53">
        <f t="shared" si="232"/>
        <v>0</v>
      </c>
      <c r="AS60" s="39"/>
      <c r="AT60" s="68">
        <f t="shared" si="233"/>
        <v>0</v>
      </c>
      <c r="AU60" s="68">
        <f t="shared" si="234"/>
        <v>0</v>
      </c>
      <c r="AV60" s="68">
        <f t="shared" si="235"/>
        <v>0</v>
      </c>
      <c r="AW60" s="68">
        <f t="shared" si="188"/>
        <v>0</v>
      </c>
      <c r="AX60" s="39"/>
      <c r="AY60" s="251">
        <v>0</v>
      </c>
    </row>
    <row r="61" spans="1:51" s="47" customFormat="1" x14ac:dyDescent="0.25">
      <c r="A61" s="47">
        <v>2026</v>
      </c>
      <c r="B61" s="33">
        <f>w_uf*UF*Parámetros!C48</f>
        <v>881634.375</v>
      </c>
      <c r="C61" s="47">
        <f t="shared" si="221"/>
        <v>47</v>
      </c>
      <c r="D61" s="47">
        <f>((A61=Inputs!$C$12)*(Inputs!$D$12) + (A61=Inputs!$C$13)*(Inputs!$D$13) + (A61=Inputs!$C$14)*(Inputs!$D$14)) *(A61 &gt;= a_afil)*(A61&gt;=2024)</f>
        <v>0</v>
      </c>
      <c r="E61" s="47">
        <f>MIN(1,(A61=Inputs!$C$19)*Inputs!$D$19+(A61=Inputs!$C$20)*Inputs!$D$20+(A61=Inputs!$C$21)*Inputs!$D$21*(A61 &gt;= a_afil))</f>
        <v>0</v>
      </c>
      <c r="F61" s="47">
        <f t="shared" si="180"/>
        <v>1</v>
      </c>
      <c r="G61" s="47">
        <f t="shared" si="181"/>
        <v>1</v>
      </c>
      <c r="H61" s="47">
        <v>0.13873231410980225</v>
      </c>
      <c r="I61" s="37">
        <f t="shared" si="222"/>
        <v>0.57999999999999996</v>
      </c>
      <c r="J61" s="37">
        <f t="shared" si="223"/>
        <v>0.57999999999999996</v>
      </c>
      <c r="K61" s="30">
        <f>1*OR(Inputs!$D$17=$A61,Inputs!$E$17=$A61)*($E61=0)*(F61=1)</f>
        <v>0</v>
      </c>
      <c r="L61" s="30">
        <f>1*OR(Inputs!$D$17=$A61,Inputs!$E$17=$A61)*($E61=0)*(G61=1)</f>
        <v>0</v>
      </c>
      <c r="M61" s="90">
        <f t="shared" si="224"/>
        <v>61361.752500000002</v>
      </c>
      <c r="N61" s="90">
        <f t="shared" si="224"/>
        <v>61361.752500000002</v>
      </c>
      <c r="O61" s="76">
        <f>Parámetros!$E48*12*I61*$AY61</f>
        <v>81713.281197079661</v>
      </c>
      <c r="P61" s="76">
        <f>Parámetros!$E48*12*J61*$AY61</f>
        <v>81713.281197079661</v>
      </c>
      <c r="Q61" s="70">
        <f t="shared" si="225"/>
        <v>613617.52500000002</v>
      </c>
      <c r="R61" s="70">
        <f t="shared" si="226"/>
        <v>613617.52500000002</v>
      </c>
      <c r="S61" s="76">
        <f t="shared" ref="S61:T63" si="236">MIN($B61,_xlfn.XLOOKUP($A61,agnos,tope_ref_ind)*UF) * (12*I61*$X$3 +  K61*_xlfn.XLOOKUP(n_mes_laguna,giros_sc,tr_sc_acum)*($X$3+$AY61))</f>
        <v>644298.40125</v>
      </c>
      <c r="T61" s="76">
        <f t="shared" si="236"/>
        <v>644298.40125</v>
      </c>
      <c r="U61" s="177"/>
      <c r="V61" s="68">
        <f t="shared" ref="V61:V92" si="237">M61*alpha+O61*(1-alpha)+F60*V60*(1+_xlfn.XLOOKUP(MIN(2024,$A60),agnos_rent,rent_base))*(1-$X$6)</f>
        <v>67467.211109123906</v>
      </c>
      <c r="W61" s="68">
        <f t="shared" ref="W61:W92" si="238">N61*alpha+P61*(1-alpha)+G60*W60*(1+_xlfn.XLOOKUP(MIN(2024,$A60),agnos_rent,rent_base))*(1-$X$6)</f>
        <v>67467.211109123906</v>
      </c>
      <c r="X61" s="54">
        <f t="shared" si="194"/>
        <v>17627011.311704911</v>
      </c>
      <c r="Y61" s="54">
        <f t="shared" si="195"/>
        <v>17627011.311704911</v>
      </c>
      <c r="Z61" s="68">
        <f t="shared" ref="Z61:Z92" si="239">F60*Z60*(1+_xlfn.XLOOKUP(MIN(2024,$A60),agnos_rent,rent_base))*(1-$X$6)+S61</f>
        <v>17635915.043907933</v>
      </c>
      <c r="AA61" s="68">
        <f t="shared" ref="AA61:AA92" si="240">G60*AA60*(1+_xlfn.XLOOKUP(MIN(2024,$A60),agnos_rent,rent_base))*(1-$X$6)+T61</f>
        <v>17635915.043907933</v>
      </c>
      <c r="AB61" s="53">
        <f>D61*mmater*Parámetros!$G48*$X$5+AB60*(1+i_noc)</f>
        <v>0</v>
      </c>
      <c r="AC61" s="53">
        <f>E61*12*Parámetros!$F48*$X$5+AC60*(1+i_noc)</f>
        <v>0</v>
      </c>
      <c r="AD61" s="53"/>
      <c r="AE61" s="53"/>
      <c r="AF61" s="175"/>
      <c r="AG61" s="74">
        <f t="shared" si="186"/>
        <v>0</v>
      </c>
      <c r="AH61" s="52">
        <f t="shared" si="187"/>
        <v>0</v>
      </c>
      <c r="AI61" s="56">
        <f t="shared" si="227"/>
        <v>0</v>
      </c>
      <c r="AJ61" s="56">
        <f t="shared" si="228"/>
        <v>0</v>
      </c>
      <c r="AK61" s="56"/>
      <c r="AL61" s="56"/>
      <c r="AM61" s="56"/>
      <c r="AN61" s="56"/>
      <c r="AO61" s="56">
        <f t="shared" si="229"/>
        <v>0</v>
      </c>
      <c r="AP61" s="56">
        <f t="shared" si="230"/>
        <v>0</v>
      </c>
      <c r="AQ61" s="53">
        <f t="shared" si="231"/>
        <v>0</v>
      </c>
      <c r="AR61" s="53">
        <f t="shared" si="232"/>
        <v>0</v>
      </c>
      <c r="AS61" s="48"/>
      <c r="AT61" s="68">
        <f t="shared" si="233"/>
        <v>0</v>
      </c>
      <c r="AU61" s="68">
        <f t="shared" si="234"/>
        <v>0</v>
      </c>
      <c r="AV61" s="68">
        <f t="shared" si="235"/>
        <v>0</v>
      </c>
      <c r="AW61" s="68">
        <f t="shared" si="188"/>
        <v>0</v>
      </c>
      <c r="AX61" s="48"/>
      <c r="AY61" s="251">
        <v>0.01</v>
      </c>
    </row>
    <row r="62" spans="1:51" x14ac:dyDescent="0.25">
      <c r="A62" s="30">
        <v>2027</v>
      </c>
      <c r="B62" s="33">
        <f>w_uf*UF*Parámetros!C49</f>
        <v>892654.80468749988</v>
      </c>
      <c r="C62" s="30">
        <f t="shared" si="221"/>
        <v>48</v>
      </c>
      <c r="D62" s="30">
        <f>((A62=Inputs!$C$12)*(Inputs!$D$12) + (A62=Inputs!$C$13)*(Inputs!$D$13) + (A62=Inputs!$C$14)*(Inputs!$D$14)) *(A62 &gt;= a_afil)*(A62&gt;=2024)</f>
        <v>0</v>
      </c>
      <c r="E62" s="30">
        <f>MIN(1,(A62=Inputs!$C$19)*Inputs!$D$19+(A62=Inputs!$C$20)*Inputs!$D$20+(A62=Inputs!$C$21)*Inputs!$D$21*(A62 &gt;= a_afil))</f>
        <v>0</v>
      </c>
      <c r="F62" s="30">
        <f t="shared" si="180"/>
        <v>1</v>
      </c>
      <c r="G62" s="30">
        <f t="shared" si="181"/>
        <v>1</v>
      </c>
      <c r="H62" s="30">
        <v>0.51725584268569946</v>
      </c>
      <c r="I62" s="37">
        <f t="shared" si="222"/>
        <v>0.57999999999999996</v>
      </c>
      <c r="J62" s="37">
        <f t="shared" si="223"/>
        <v>0.57999999999999996</v>
      </c>
      <c r="K62" s="30">
        <f>1*OR(Inputs!$D$17=$A62,Inputs!$E$17=$A62)*($E62=0)*(F62=1)</f>
        <v>0</v>
      </c>
      <c r="L62" s="30">
        <f>1*OR(Inputs!$D$17=$A62,Inputs!$E$17=$A62)*($E62=0)*(G62=1)</f>
        <v>0</v>
      </c>
      <c r="M62" s="90">
        <f t="shared" si="224"/>
        <v>124257.54881249998</v>
      </c>
      <c r="N62" s="90">
        <f t="shared" si="224"/>
        <v>124257.54881249998</v>
      </c>
      <c r="O62" s="76">
        <f>Parámetros!$E49*12*I62*$AY62</f>
        <v>165469.39442408632</v>
      </c>
      <c r="P62" s="76">
        <f>Parámetros!$E49*12*J62*$AY62</f>
        <v>165469.39442408632</v>
      </c>
      <c r="Q62" s="70">
        <f t="shared" si="225"/>
        <v>621287.74406249996</v>
      </c>
      <c r="R62" s="70">
        <f t="shared" si="226"/>
        <v>621287.74406249996</v>
      </c>
      <c r="S62" s="76">
        <f t="shared" si="236"/>
        <v>652352.13126562489</v>
      </c>
      <c r="T62" s="76">
        <f t="shared" si="236"/>
        <v>652352.13126562489</v>
      </c>
      <c r="U62" s="177"/>
      <c r="V62" s="68">
        <f t="shared" si="237"/>
        <v>206279.4284089471</v>
      </c>
      <c r="W62" s="68">
        <f t="shared" si="238"/>
        <v>206279.4284089471</v>
      </c>
      <c r="X62" s="54">
        <f t="shared" si="194"/>
        <v>18844092.038103037</v>
      </c>
      <c r="Y62" s="54">
        <f t="shared" si="195"/>
        <v>18844092.038103037</v>
      </c>
      <c r="Z62" s="55">
        <f t="shared" si="239"/>
        <v>18861024.132172987</v>
      </c>
      <c r="AA62" s="55">
        <f t="shared" si="240"/>
        <v>18861024.132172987</v>
      </c>
      <c r="AB62" s="53">
        <f>D62*mmater*Parámetros!$G49*$X$5+AB61*(1+i_noc)</f>
        <v>0</v>
      </c>
      <c r="AC62" s="53">
        <f>E62*12*Parámetros!$F49*$X$5+AC61*(1+i_noc)</f>
        <v>0</v>
      </c>
      <c r="AD62" s="53"/>
      <c r="AE62" s="53"/>
      <c r="AF62" s="175"/>
      <c r="AG62" s="74">
        <f t="shared" si="186"/>
        <v>0</v>
      </c>
      <c r="AH62" s="52">
        <f t="shared" si="187"/>
        <v>0</v>
      </c>
      <c r="AI62" s="56">
        <f t="shared" si="227"/>
        <v>0</v>
      </c>
      <c r="AJ62" s="56">
        <f t="shared" si="228"/>
        <v>0</v>
      </c>
      <c r="AK62" s="56"/>
      <c r="AL62" s="56"/>
      <c r="AM62" s="56"/>
      <c r="AN62" s="56"/>
      <c r="AO62" s="56">
        <f t="shared" si="229"/>
        <v>0</v>
      </c>
      <c r="AP62" s="56">
        <f t="shared" si="230"/>
        <v>0</v>
      </c>
      <c r="AQ62" s="53">
        <f t="shared" si="231"/>
        <v>0</v>
      </c>
      <c r="AR62" s="53">
        <f t="shared" si="232"/>
        <v>0</v>
      </c>
      <c r="AS62" s="39"/>
      <c r="AT62" s="68">
        <f t="shared" si="233"/>
        <v>0</v>
      </c>
      <c r="AU62" s="68">
        <f t="shared" si="234"/>
        <v>0</v>
      </c>
      <c r="AV62" s="68">
        <f t="shared" si="235"/>
        <v>0</v>
      </c>
      <c r="AW62" s="68">
        <f t="shared" si="188"/>
        <v>0</v>
      </c>
      <c r="AX62" s="39"/>
      <c r="AY62" s="251">
        <v>0.02</v>
      </c>
    </row>
    <row r="63" spans="1:51" x14ac:dyDescent="0.25">
      <c r="A63" s="30">
        <v>2028</v>
      </c>
      <c r="B63" s="33">
        <f>w_uf*UF*Parámetros!C50</f>
        <v>903812.98974609352</v>
      </c>
      <c r="C63" s="30">
        <f t="shared" si="221"/>
        <v>49</v>
      </c>
      <c r="D63" s="30">
        <f>((A63=Inputs!$C$12)*(Inputs!$D$12) + (A63=Inputs!$C$13)*(Inputs!$D$13) + (A63=Inputs!$C$14)*(Inputs!$D$14)) *(A63 &gt;= a_afil)*(A63&gt;=2024)</f>
        <v>0</v>
      </c>
      <c r="E63" s="30">
        <f>MIN(1,(A63=Inputs!$C$19)*Inputs!$D$19+(A63=Inputs!$C$20)*Inputs!$D$20+(A63=Inputs!$C$21)*Inputs!$D$21*(A63 &gt;= a_afil))</f>
        <v>0</v>
      </c>
      <c r="F63" s="30">
        <f t="shared" si="180"/>
        <v>1</v>
      </c>
      <c r="G63" s="30">
        <f t="shared" si="181"/>
        <v>1</v>
      </c>
      <c r="H63" s="30">
        <v>0.96536445617675781</v>
      </c>
      <c r="I63" s="37">
        <f t="shared" si="222"/>
        <v>0.57999999999999996</v>
      </c>
      <c r="J63" s="37">
        <f t="shared" si="223"/>
        <v>0.57999999999999996</v>
      </c>
      <c r="K63" s="30">
        <f>1*OR(Inputs!$D$17=$A63,Inputs!$E$17=$A63)*($E63=0)*(F63=1)</f>
        <v>1</v>
      </c>
      <c r="L63" s="30">
        <f>1*OR(Inputs!$D$17=$A63,Inputs!$E$17=$A63)*($E63=0)*(G63=1)</f>
        <v>1</v>
      </c>
      <c r="M63" s="90">
        <f t="shared" si="224"/>
        <v>188716.15225898431</v>
      </c>
      <c r="N63" s="90">
        <f t="shared" si="224"/>
        <v>188716.15225898431</v>
      </c>
      <c r="O63" s="76">
        <f>Parámetros!$E50*12*I63*$AY63</f>
        <v>251306.64278158106</v>
      </c>
      <c r="P63" s="76">
        <f>Parámetros!$E50*12*J63*$AY63</f>
        <v>251306.64278158106</v>
      </c>
      <c r="Q63" s="70">
        <f t="shared" si="225"/>
        <v>629053.84086328105</v>
      </c>
      <c r="R63" s="70">
        <f t="shared" si="226"/>
        <v>629053.84086328105</v>
      </c>
      <c r="S63" s="76">
        <f t="shared" si="236"/>
        <v>959442.67926496558</v>
      </c>
      <c r="T63" s="76">
        <f t="shared" si="236"/>
        <v>959442.67926496558</v>
      </c>
      <c r="U63" s="177"/>
      <c r="V63" s="68">
        <f t="shared" si="237"/>
        <v>420472.01036337874</v>
      </c>
      <c r="W63" s="68">
        <f t="shared" si="238"/>
        <v>420472.01036337874</v>
      </c>
      <c r="X63" s="54">
        <f t="shared" si="194"/>
        <v>20110076.189854201</v>
      </c>
      <c r="Y63" s="54">
        <f t="shared" si="195"/>
        <v>20110076.189854201</v>
      </c>
      <c r="Z63" s="55">
        <f t="shared" si="239"/>
        <v>20433011.312868167</v>
      </c>
      <c r="AA63" s="55">
        <f t="shared" si="240"/>
        <v>20433011.312868167</v>
      </c>
      <c r="AB63" s="53">
        <f>D63*mmater*Parámetros!$G50*$X$5+AB62*(1+i_noc)</f>
        <v>0</v>
      </c>
      <c r="AC63" s="53">
        <f>E63*12*Parámetros!$F50*$X$5+AC62*(1+i_noc)</f>
        <v>0</v>
      </c>
      <c r="AD63" s="53"/>
      <c r="AE63" s="53"/>
      <c r="AF63" s="175"/>
      <c r="AG63" s="74">
        <f t="shared" si="186"/>
        <v>0</v>
      </c>
      <c r="AH63" s="52">
        <f t="shared" si="187"/>
        <v>0</v>
      </c>
      <c r="AI63" s="56">
        <f t="shared" si="227"/>
        <v>0</v>
      </c>
      <c r="AJ63" s="56">
        <f t="shared" si="228"/>
        <v>0</v>
      </c>
      <c r="AK63" s="56"/>
      <c r="AL63" s="56"/>
      <c r="AM63" s="56"/>
      <c r="AN63" s="56"/>
      <c r="AO63" s="56">
        <f t="shared" si="229"/>
        <v>0</v>
      </c>
      <c r="AP63" s="56">
        <f t="shared" si="230"/>
        <v>0</v>
      </c>
      <c r="AQ63" s="53">
        <f t="shared" si="231"/>
        <v>0</v>
      </c>
      <c r="AR63" s="53">
        <f t="shared" si="232"/>
        <v>0</v>
      </c>
      <c r="AS63" s="39"/>
      <c r="AT63" s="68">
        <f t="shared" si="233"/>
        <v>0</v>
      </c>
      <c r="AU63" s="68">
        <f t="shared" si="234"/>
        <v>0</v>
      </c>
      <c r="AV63" s="68">
        <f t="shared" si="235"/>
        <v>0</v>
      </c>
      <c r="AW63" s="68">
        <f t="shared" si="188"/>
        <v>0</v>
      </c>
      <c r="AX63" s="39"/>
      <c r="AY63" s="251">
        <v>0.03</v>
      </c>
    </row>
    <row r="64" spans="1:51" x14ac:dyDescent="0.25">
      <c r="A64" s="30">
        <v>2029</v>
      </c>
      <c r="B64" s="33">
        <f>w_uf*UF*Parámetros!C51</f>
        <v>915110.65211791953</v>
      </c>
      <c r="C64" s="30">
        <f t="shared" si="221"/>
        <v>50</v>
      </c>
      <c r="D64" s="30">
        <f>((A64=Inputs!$C$12)*(Inputs!$D$12) + (A64=Inputs!$C$13)*(Inputs!$D$13) + (A64=Inputs!$C$14)*(Inputs!$D$14)) *(A64 &gt;= a_afil)*(A64&gt;=2024)</f>
        <v>0</v>
      </c>
      <c r="E64" s="30">
        <f>MIN(1,(A64=Inputs!$C$19)*Inputs!$D$19+(A64=Inputs!$C$20)*Inputs!$D$20+(A64=Inputs!$C$21)*Inputs!$D$21*(A64 &gt;= a_afil))</f>
        <v>0</v>
      </c>
      <c r="F64" s="30">
        <f t="shared" si="180"/>
        <v>1</v>
      </c>
      <c r="G64" s="30">
        <f t="shared" si="181"/>
        <v>1</v>
      </c>
      <c r="H64" s="30">
        <v>0.55750101804733276</v>
      </c>
      <c r="I64" s="37">
        <f t="shared" si="222"/>
        <v>0.57999999999999996</v>
      </c>
      <c r="J64" s="37">
        <f t="shared" si="223"/>
        <v>0.57999999999999996</v>
      </c>
      <c r="K64" s="30">
        <f>1*OR(Inputs!$D$17=$A64,Inputs!$E$17=$A64)*($E64=0)*(F64=1)</f>
        <v>0</v>
      </c>
      <c r="L64" s="30">
        <f>1*OR(Inputs!$D$17=$A64,Inputs!$E$17=$A64)*($E64=0)*(G64=1)</f>
        <v>0</v>
      </c>
      <c r="M64" s="181">
        <f t="shared" ref="M64" si="241">MIN($B64,_xlfn.XLOOKUP($A64,agnos,tope_ref_ind)*UF)*12*I64*$N$14</f>
        <v>254766.80554962877</v>
      </c>
      <c r="N64" s="181">
        <f t="shared" ref="N64" si="242">MIN($B64,_xlfn.XLOOKUP($A64,agnos,tope_ref_ind)*UF)*12*J64*$N$14</f>
        <v>254766.80554962877</v>
      </c>
      <c r="O64" s="68">
        <f>Parámetros!$E51*12*I64*$P$14</f>
        <v>339263.96775513451</v>
      </c>
      <c r="P64" s="68">
        <f>Parámetros!$E51*12*J64*$P$14</f>
        <v>339263.96775513451</v>
      </c>
      <c r="Q64" s="70">
        <f t="shared" si="225"/>
        <v>636917.013874072</v>
      </c>
      <c r="R64" s="70">
        <f t="shared" si="226"/>
        <v>636917.013874072</v>
      </c>
      <c r="S64" s="68">
        <f t="shared" ref="S64:S95" si="243">MIN($B64,_xlfn.XLOOKUP($A64,agnos,tope_ref_ind)*UF) * (12*I64*$X$3 +  K64*_xlfn.XLOOKUP(n_mes_laguna,giros_sc,tr_sc_acum)*($X$3+$X$4))</f>
        <v>668762.86456777563</v>
      </c>
      <c r="T64" s="68">
        <f t="shared" ref="T64:T95" si="244">MIN($B64,_xlfn.XLOOKUP($A64,agnos,tope_ref_ind)*UF) * (12*J64*$X$3 +  L64*_xlfn.XLOOKUP(n_mes_laguna,giros_sc,tr_sc_acum)*($X$3+$X$4))</f>
        <v>668762.86456777563</v>
      </c>
      <c r="U64" s="33"/>
      <c r="V64" s="68">
        <f t="shared" si="237"/>
        <v>714243.52305061999</v>
      </c>
      <c r="W64" s="68">
        <f t="shared" si="238"/>
        <v>714243.52305061999</v>
      </c>
      <c r="X64" s="54">
        <f t="shared" si="194"/>
        <v>21426713.778945345</v>
      </c>
      <c r="Y64" s="54">
        <f t="shared" si="195"/>
        <v>21426713.778945345</v>
      </c>
      <c r="Z64" s="55">
        <f t="shared" si="239"/>
        <v>21765371.691528976</v>
      </c>
      <c r="AA64" s="55">
        <f t="shared" si="240"/>
        <v>21765371.691528976</v>
      </c>
      <c r="AB64" s="53">
        <f>D64*mmater*Parámetros!$G51*$X$5+AB63*(1+i_noc)</f>
        <v>0</v>
      </c>
      <c r="AC64" s="53">
        <f>E64*12*Parámetros!$F51*$X$5+AC63*(1+i_noc)</f>
        <v>0</v>
      </c>
      <c r="AD64" s="53"/>
      <c r="AE64" s="53"/>
      <c r="AF64" s="175"/>
      <c r="AG64" s="74">
        <f t="shared" si="186"/>
        <v>0</v>
      </c>
      <c r="AH64" s="52">
        <f t="shared" si="187"/>
        <v>0</v>
      </c>
      <c r="AI64" s="56">
        <f t="shared" si="227"/>
        <v>0</v>
      </c>
      <c r="AJ64" s="56">
        <f t="shared" si="228"/>
        <v>0</v>
      </c>
      <c r="AK64" s="56"/>
      <c r="AL64" s="56"/>
      <c r="AM64" s="56"/>
      <c r="AN64" s="56"/>
      <c r="AO64" s="56">
        <f t="shared" si="229"/>
        <v>0</v>
      </c>
      <c r="AP64" s="56">
        <f t="shared" si="230"/>
        <v>0</v>
      </c>
      <c r="AQ64" s="53">
        <f t="shared" si="231"/>
        <v>0</v>
      </c>
      <c r="AR64" s="53">
        <f t="shared" si="232"/>
        <v>0</v>
      </c>
      <c r="AS64" s="39"/>
      <c r="AT64" s="68">
        <f t="shared" si="233"/>
        <v>0</v>
      </c>
      <c r="AU64" s="68">
        <f t="shared" si="234"/>
        <v>0</v>
      </c>
      <c r="AV64" s="68">
        <f t="shared" si="235"/>
        <v>0</v>
      </c>
      <c r="AW64" s="68">
        <f t="shared" si="188"/>
        <v>0</v>
      </c>
      <c r="AX64" s="39"/>
      <c r="AY64" s="251">
        <v>0.04</v>
      </c>
    </row>
    <row r="65" spans="1:51" x14ac:dyDescent="0.25">
      <c r="A65" s="30">
        <v>2030</v>
      </c>
      <c r="B65" s="33">
        <f>w_uf*UF*Parámetros!C52</f>
        <v>926549.53526939359</v>
      </c>
      <c r="C65" s="30">
        <f t="shared" si="221"/>
        <v>51</v>
      </c>
      <c r="D65" s="30">
        <f>((A65=Inputs!$C$12)*(Inputs!$D$12) + (A65=Inputs!$C$13)*(Inputs!$D$13) + (A65=Inputs!$C$14)*(Inputs!$D$14)) *(A65 &gt;= a_afil)*(A65&gt;=2024)</f>
        <v>0</v>
      </c>
      <c r="E65" s="30">
        <f>MIN(1,(A65=Inputs!$C$19)*Inputs!$D$19+(A65=Inputs!$C$20)*Inputs!$D$20+(A65=Inputs!$C$21)*Inputs!$D$21*(A65 &gt;= a_afil))</f>
        <v>0</v>
      </c>
      <c r="F65" s="30">
        <f t="shared" si="180"/>
        <v>1</v>
      </c>
      <c r="G65" s="30">
        <f t="shared" si="181"/>
        <v>1</v>
      </c>
      <c r="H65" s="30">
        <v>0.90920412540435791</v>
      </c>
      <c r="I65" s="37">
        <f t="shared" si="222"/>
        <v>0.57999999999999996</v>
      </c>
      <c r="J65" s="37">
        <f t="shared" si="223"/>
        <v>0.57999999999999996</v>
      </c>
      <c r="K65" s="30">
        <f>1*OR(Inputs!$D$17=$A65,Inputs!$E$17=$A65)*($E65=0)*(F65=1)</f>
        <v>0</v>
      </c>
      <c r="L65" s="30">
        <f>1*OR(Inputs!$D$17=$A65,Inputs!$E$17=$A65)*($E65=0)*(G65=1)</f>
        <v>0</v>
      </c>
      <c r="M65" s="73">
        <f t="shared" ref="M65:M128" si="245">MIN($B65,_xlfn.XLOOKUP($A65,agnos,tope_ref_ind)*UF)*12*I65*$N$14</f>
        <v>257951.39061899917</v>
      </c>
      <c r="N65" s="73">
        <f t="shared" ref="N65:N128" si="246">MIN($B65,_xlfn.XLOOKUP($A65,agnos,tope_ref_ind)*UF)*12*J65*$N$14</f>
        <v>257951.39061899917</v>
      </c>
      <c r="O65" s="55">
        <f>Parámetros!$E52*12*I65*$P$14</f>
        <v>343504.76735207363</v>
      </c>
      <c r="P65" s="55">
        <f>Parámetros!$E52*12*J65*$P$14</f>
        <v>343504.76735207363</v>
      </c>
      <c r="Q65" s="70">
        <f t="shared" si="225"/>
        <v>644878.47654749791</v>
      </c>
      <c r="R65" s="70">
        <f t="shared" si="226"/>
        <v>644878.47654749791</v>
      </c>
      <c r="S65" s="68">
        <f t="shared" si="243"/>
        <v>677122.40037487284</v>
      </c>
      <c r="T65" s="68">
        <f t="shared" si="244"/>
        <v>677122.40037487284</v>
      </c>
      <c r="U65" s="33"/>
      <c r="V65" s="68">
        <f t="shared" si="237"/>
        <v>1021057.2250273663</v>
      </c>
      <c r="W65" s="68">
        <f t="shared" si="238"/>
        <v>1021057.2250273663</v>
      </c>
      <c r="X65" s="54">
        <f t="shared" si="194"/>
        <v>22795815.181221198</v>
      </c>
      <c r="Y65" s="54">
        <f t="shared" si="195"/>
        <v>22795815.181221198</v>
      </c>
      <c r="Z65" s="55">
        <f t="shared" si="239"/>
        <v>23149362.322271515</v>
      </c>
      <c r="AA65" s="55">
        <f t="shared" si="240"/>
        <v>23149362.322271515</v>
      </c>
      <c r="AB65" s="53">
        <f>D65*mmater*Parámetros!$G52*$X$5+AB64*(1+i_noc)</f>
        <v>0</v>
      </c>
      <c r="AC65" s="53">
        <f>E65*12*Parámetros!$F52*$X$5+AC64*(1+i_noc)</f>
        <v>0</v>
      </c>
      <c r="AD65" s="53"/>
      <c r="AE65" s="53"/>
      <c r="AF65" s="175"/>
      <c r="AG65" s="74">
        <f t="shared" si="186"/>
        <v>0</v>
      </c>
      <c r="AH65" s="52">
        <f t="shared" si="187"/>
        <v>0</v>
      </c>
      <c r="AI65" s="56">
        <f t="shared" si="227"/>
        <v>0</v>
      </c>
      <c r="AJ65" s="56">
        <f t="shared" si="228"/>
        <v>0</v>
      </c>
      <c r="AK65" s="56"/>
      <c r="AL65" s="56"/>
      <c r="AM65" s="56"/>
      <c r="AN65" s="56"/>
      <c r="AO65" s="56">
        <f t="shared" si="229"/>
        <v>0</v>
      </c>
      <c r="AP65" s="56">
        <f t="shared" si="230"/>
        <v>0</v>
      </c>
      <c r="AQ65" s="53">
        <f t="shared" si="231"/>
        <v>0</v>
      </c>
      <c r="AR65" s="53">
        <f t="shared" si="232"/>
        <v>0</v>
      </c>
      <c r="AS65" s="39"/>
      <c r="AT65" s="68">
        <f t="shared" si="233"/>
        <v>0</v>
      </c>
      <c r="AU65" s="68">
        <f t="shared" si="234"/>
        <v>0</v>
      </c>
      <c r="AV65" s="68">
        <f t="shared" si="235"/>
        <v>0</v>
      </c>
      <c r="AW65" s="68">
        <f t="shared" si="188"/>
        <v>0</v>
      </c>
      <c r="AX65" s="39"/>
      <c r="AY65" s="39"/>
    </row>
    <row r="66" spans="1:51" x14ac:dyDescent="0.25">
      <c r="A66" s="30">
        <v>2031</v>
      </c>
      <c r="B66" s="33">
        <f>w_uf*UF*Parámetros!C53</f>
        <v>938131.40446026088</v>
      </c>
      <c r="C66" s="30">
        <f t="shared" si="221"/>
        <v>52</v>
      </c>
      <c r="D66" s="30">
        <f>((A66=Inputs!$C$12)*(Inputs!$D$12) + (A66=Inputs!$C$13)*(Inputs!$D$13) + (A66=Inputs!$C$14)*(Inputs!$D$14)) *(A66 &gt;= a_afil)*(A66&gt;=2024)</f>
        <v>0</v>
      </c>
      <c r="E66" s="30">
        <f>MIN(1,(A66=Inputs!$C$19)*Inputs!$D$19+(A66=Inputs!$C$20)*Inputs!$D$20+(A66=Inputs!$C$21)*Inputs!$D$21*(A66 &gt;= a_afil))</f>
        <v>0</v>
      </c>
      <c r="F66" s="30">
        <f t="shared" si="180"/>
        <v>1</v>
      </c>
      <c r="G66" s="30">
        <f t="shared" si="181"/>
        <v>1</v>
      </c>
      <c r="H66" s="30">
        <v>0.65725642442703247</v>
      </c>
      <c r="I66" s="37">
        <f t="shared" si="222"/>
        <v>0.57999999999999996</v>
      </c>
      <c r="J66" s="37">
        <f t="shared" si="223"/>
        <v>0.57999999999999996</v>
      </c>
      <c r="K66" s="30">
        <f>1*OR(Inputs!$D$17=$A66,Inputs!$E$17=$A66)*($E66=0)*(F66=1)</f>
        <v>0</v>
      </c>
      <c r="L66" s="30">
        <f>1*OR(Inputs!$D$17=$A66,Inputs!$E$17=$A66)*($E66=0)*(G66=1)</f>
        <v>0</v>
      </c>
      <c r="M66" s="73">
        <f t="shared" si="245"/>
        <v>261175.78300173662</v>
      </c>
      <c r="N66" s="73">
        <f t="shared" si="246"/>
        <v>261175.78300173662</v>
      </c>
      <c r="O66" s="55">
        <f>Parámetros!$E53*12*I66*$P$14</f>
        <v>347798.57694397448</v>
      </c>
      <c r="P66" s="55">
        <f>Parámetros!$E53*12*J66*$P$14</f>
        <v>347798.57694397448</v>
      </c>
      <c r="Q66" s="70">
        <f t="shared" si="225"/>
        <v>652939.45750434161</v>
      </c>
      <c r="R66" s="70">
        <f t="shared" si="226"/>
        <v>652939.45750434161</v>
      </c>
      <c r="S66" s="68">
        <f t="shared" si="243"/>
        <v>685586.4303795587</v>
      </c>
      <c r="T66" s="68">
        <f t="shared" si="244"/>
        <v>685586.4303795587</v>
      </c>
      <c r="U66" s="33"/>
      <c r="V66" s="68">
        <f t="shared" si="237"/>
        <v>1341380.4521498808</v>
      </c>
      <c r="W66" s="68">
        <f t="shared" si="238"/>
        <v>1341380.4521498808</v>
      </c>
      <c r="X66" s="54">
        <f t="shared" si="194"/>
        <v>24219253.191850819</v>
      </c>
      <c r="Y66" s="54">
        <f t="shared" si="195"/>
        <v>24219253.191850819</v>
      </c>
      <c r="Z66" s="55">
        <f t="shared" si="239"/>
        <v>24586764.481359836</v>
      </c>
      <c r="AA66" s="55">
        <f t="shared" si="240"/>
        <v>24586764.481359836</v>
      </c>
      <c r="AB66" s="53">
        <f>D66*mmater*Parámetros!$G53*$X$5+AB65*(1+i_noc)</f>
        <v>0</v>
      </c>
      <c r="AC66" s="53">
        <f>E66*12*Parámetros!$F53*$X$5+AC65*(1+i_noc)</f>
        <v>0</v>
      </c>
      <c r="AD66" s="53"/>
      <c r="AE66" s="53"/>
      <c r="AF66" s="175"/>
      <c r="AG66" s="74">
        <f t="shared" si="186"/>
        <v>0</v>
      </c>
      <c r="AH66" s="52">
        <f t="shared" si="187"/>
        <v>0</v>
      </c>
      <c r="AI66" s="56">
        <f t="shared" si="227"/>
        <v>0</v>
      </c>
      <c r="AJ66" s="56">
        <f t="shared" si="228"/>
        <v>0</v>
      </c>
      <c r="AK66" s="56"/>
      <c r="AL66" s="56"/>
      <c r="AM66" s="56"/>
      <c r="AN66" s="56"/>
      <c r="AO66" s="56">
        <f t="shared" si="229"/>
        <v>0</v>
      </c>
      <c r="AP66" s="56">
        <f t="shared" si="230"/>
        <v>0</v>
      </c>
      <c r="AQ66" s="53">
        <f t="shared" si="231"/>
        <v>0</v>
      </c>
      <c r="AR66" s="53">
        <f t="shared" si="232"/>
        <v>0</v>
      </c>
      <c r="AS66" s="39"/>
      <c r="AT66" s="68">
        <f t="shared" si="233"/>
        <v>0</v>
      </c>
      <c r="AU66" s="68">
        <f t="shared" si="234"/>
        <v>0</v>
      </c>
      <c r="AV66" s="68">
        <f t="shared" si="235"/>
        <v>0</v>
      </c>
      <c r="AW66" s="68">
        <f t="shared" si="188"/>
        <v>0</v>
      </c>
      <c r="AX66" s="39"/>
      <c r="AY66" s="39"/>
    </row>
    <row r="67" spans="1:51" x14ac:dyDescent="0.25">
      <c r="A67" s="30">
        <v>2032</v>
      </c>
      <c r="B67" s="33">
        <f>w_uf*UF*Parámetros!C54</f>
        <v>949858.04701601411</v>
      </c>
      <c r="C67" s="30">
        <f t="shared" si="221"/>
        <v>53</v>
      </c>
      <c r="D67" s="30">
        <f>((A67=Inputs!$C$12)*(Inputs!$D$12) + (A67=Inputs!$C$13)*(Inputs!$D$13) + (A67=Inputs!$C$14)*(Inputs!$D$14)) *(A67 &gt;= a_afil)*(A67&gt;=2024)</f>
        <v>0</v>
      </c>
      <c r="E67" s="30">
        <f>MIN(1,(A67=Inputs!$C$19)*Inputs!$D$19+(A67=Inputs!$C$20)*Inputs!$D$20+(A67=Inputs!$C$21)*Inputs!$D$21*(A67 &gt;= a_afil))</f>
        <v>0</v>
      </c>
      <c r="F67" s="30">
        <f t="shared" si="180"/>
        <v>1</v>
      </c>
      <c r="G67" s="30">
        <f t="shared" si="181"/>
        <v>1</v>
      </c>
      <c r="H67" s="30">
        <v>0.44111466407775879</v>
      </c>
      <c r="I67" s="37">
        <f t="shared" si="222"/>
        <v>0.57999999999999996</v>
      </c>
      <c r="J67" s="37">
        <f t="shared" si="223"/>
        <v>0.57999999999999996</v>
      </c>
      <c r="K67" s="30">
        <f>1*OR(Inputs!$D$17=$A67,Inputs!$E$17=$A67)*($E67=0)*(F67=1)</f>
        <v>0</v>
      </c>
      <c r="L67" s="30">
        <f>1*OR(Inputs!$D$17=$A67,Inputs!$E$17=$A67)*($E67=0)*(G67=1)</f>
        <v>0</v>
      </c>
      <c r="M67" s="73">
        <f t="shared" si="245"/>
        <v>264440.4802892583</v>
      </c>
      <c r="N67" s="73">
        <f t="shared" si="246"/>
        <v>264440.4802892583</v>
      </c>
      <c r="O67" s="55">
        <f>Parámetros!$E54*12*I67*$P$14</f>
        <v>352146.05915577419</v>
      </c>
      <c r="P67" s="55">
        <f>Parámetros!$E54*12*J67*$P$14</f>
        <v>352146.05915577419</v>
      </c>
      <c r="Q67" s="70">
        <f t="shared" si="225"/>
        <v>661101.20072314574</v>
      </c>
      <c r="R67" s="70">
        <f t="shared" si="226"/>
        <v>661101.20072314574</v>
      </c>
      <c r="S67" s="68">
        <f t="shared" si="243"/>
        <v>694156.26075930311</v>
      </c>
      <c r="T67" s="68">
        <f t="shared" si="244"/>
        <v>694156.26075930311</v>
      </c>
      <c r="U67" s="33"/>
      <c r="V67" s="68">
        <f t="shared" si="237"/>
        <v>1675696.2649191264</v>
      </c>
      <c r="W67" s="68">
        <f t="shared" si="238"/>
        <v>1675696.2649191264</v>
      </c>
      <c r="X67" s="54">
        <f t="shared" si="194"/>
        <v>25698965.150458522</v>
      </c>
      <c r="Y67" s="54">
        <f t="shared" si="195"/>
        <v>25698965.150458522</v>
      </c>
      <c r="Z67" s="55">
        <f t="shared" si="239"/>
        <v>26079418.601274438</v>
      </c>
      <c r="AA67" s="55">
        <f t="shared" si="240"/>
        <v>26079418.601274438</v>
      </c>
      <c r="AB67" s="53">
        <f>D67*mmater*Parámetros!$G54*$X$5+AB66*(1+i_noc)</f>
        <v>0</v>
      </c>
      <c r="AC67" s="53">
        <f>E67*12*Parámetros!$F54*$X$5+AC66*(1+i_noc)</f>
        <v>0</v>
      </c>
      <c r="AD67" s="53"/>
      <c r="AE67" s="53"/>
      <c r="AF67" s="175"/>
      <c r="AG67" s="74">
        <f t="shared" si="186"/>
        <v>0</v>
      </c>
      <c r="AH67" s="52">
        <f t="shared" si="187"/>
        <v>0</v>
      </c>
      <c r="AI67" s="56">
        <f t="shared" si="227"/>
        <v>0</v>
      </c>
      <c r="AJ67" s="56">
        <f t="shared" si="228"/>
        <v>0</v>
      </c>
      <c r="AK67" s="56"/>
      <c r="AL67" s="56"/>
      <c r="AM67" s="56"/>
      <c r="AN67" s="56"/>
      <c r="AO67" s="56">
        <f t="shared" si="229"/>
        <v>0</v>
      </c>
      <c r="AP67" s="56">
        <f t="shared" si="230"/>
        <v>0</v>
      </c>
      <c r="AQ67" s="53">
        <f t="shared" si="231"/>
        <v>0</v>
      </c>
      <c r="AR67" s="53">
        <f t="shared" si="232"/>
        <v>0</v>
      </c>
      <c r="AS67" s="39"/>
      <c r="AT67" s="68">
        <f t="shared" si="233"/>
        <v>0</v>
      </c>
      <c r="AU67" s="68">
        <f t="shared" si="234"/>
        <v>0</v>
      </c>
      <c r="AV67" s="68">
        <f t="shared" si="235"/>
        <v>0</v>
      </c>
      <c r="AW67" s="68">
        <f t="shared" si="188"/>
        <v>0</v>
      </c>
      <c r="AX67" s="39"/>
      <c r="AY67" s="39"/>
    </row>
    <row r="68" spans="1:51" x14ac:dyDescent="0.25">
      <c r="A68" s="30">
        <v>2033</v>
      </c>
      <c r="B68" s="33">
        <f>w_uf*UF*Parámetros!C55</f>
        <v>961731.27260371426</v>
      </c>
      <c r="C68" s="30">
        <f t="shared" si="221"/>
        <v>54</v>
      </c>
      <c r="D68" s="30">
        <f>((A68=Inputs!$C$12)*(Inputs!$D$12) + (A68=Inputs!$C$13)*(Inputs!$D$13) + (A68=Inputs!$C$14)*(Inputs!$D$14)) *(A68 &gt;= a_afil)*(A68&gt;=2024)</f>
        <v>0</v>
      </c>
      <c r="E68" s="30">
        <f>MIN(1,(A68=Inputs!$C$19)*Inputs!$D$19+(A68=Inputs!$C$20)*Inputs!$D$20+(A68=Inputs!$C$21)*Inputs!$D$21*(A68 &gt;= a_afil))</f>
        <v>1</v>
      </c>
      <c r="F68" s="30">
        <f t="shared" si="180"/>
        <v>1</v>
      </c>
      <c r="G68" s="30">
        <f t="shared" si="181"/>
        <v>1</v>
      </c>
      <c r="H68" s="30">
        <v>0.69299453496932983</v>
      </c>
      <c r="I68" s="37">
        <f t="shared" si="222"/>
        <v>0.57999999999999996</v>
      </c>
      <c r="J68" s="37">
        <f t="shared" si="223"/>
        <v>0.57999999999999996</v>
      </c>
      <c r="K68" s="30">
        <f>1*OR(Inputs!$D$17=$A68,Inputs!$E$17=$A68)*($E68=0)*(F68=1)</f>
        <v>0</v>
      </c>
      <c r="L68" s="30">
        <f>1*OR(Inputs!$D$17=$A68,Inputs!$E$17=$A68)*($E68=0)*(G68=1)</f>
        <v>0</v>
      </c>
      <c r="M68" s="73">
        <f t="shared" si="245"/>
        <v>267745.98629287403</v>
      </c>
      <c r="N68" s="73">
        <f t="shared" si="246"/>
        <v>267745.98629287403</v>
      </c>
      <c r="O68" s="55">
        <f>Parámetros!$E55*12*I68*$P$14</f>
        <v>356547.88489522139</v>
      </c>
      <c r="P68" s="55">
        <f>Parámetros!$E55*12*J68*$P$14</f>
        <v>356547.88489522139</v>
      </c>
      <c r="Q68" s="70">
        <f t="shared" si="225"/>
        <v>669364.96573218517</v>
      </c>
      <c r="R68" s="70">
        <f t="shared" si="226"/>
        <v>669364.96573218517</v>
      </c>
      <c r="S68" s="68">
        <f t="shared" si="243"/>
        <v>702833.21401879436</v>
      </c>
      <c r="T68" s="68">
        <f t="shared" si="244"/>
        <v>702833.21401879436</v>
      </c>
      <c r="U68" s="33"/>
      <c r="V68" s="68">
        <f t="shared" si="237"/>
        <v>2024503.9660046692</v>
      </c>
      <c r="W68" s="68">
        <f t="shared" si="238"/>
        <v>2024503.9660046692</v>
      </c>
      <c r="X68" s="54">
        <f t="shared" si="194"/>
        <v>27236955.138276204</v>
      </c>
      <c r="Y68" s="54">
        <f t="shared" si="195"/>
        <v>27236955.138276204</v>
      </c>
      <c r="Z68" s="55">
        <f t="shared" si="239"/>
        <v>27629226.208240315</v>
      </c>
      <c r="AA68" s="55">
        <f t="shared" si="240"/>
        <v>27629226.208240315</v>
      </c>
      <c r="AB68" s="53">
        <f>D68*mmater*Parámetros!$G55*$X$5+AB67*(1+i_noc)</f>
        <v>0</v>
      </c>
      <c r="AC68" s="53">
        <f>E68*12*Parámetros!$F55*$X$5+AC67*(1+i_noc)</f>
        <v>230732.4286173211</v>
      </c>
      <c r="AD68" s="53"/>
      <c r="AE68" s="53"/>
      <c r="AF68" s="175"/>
      <c r="AG68" s="74">
        <f t="shared" si="186"/>
        <v>0</v>
      </c>
      <c r="AH68" s="52">
        <f t="shared" si="187"/>
        <v>0</v>
      </c>
      <c r="AI68" s="56">
        <f t="shared" si="227"/>
        <v>0</v>
      </c>
      <c r="AJ68" s="56">
        <f t="shared" si="228"/>
        <v>0</v>
      </c>
      <c r="AK68" s="56"/>
      <c r="AL68" s="56"/>
      <c r="AM68" s="56"/>
      <c r="AN68" s="56"/>
      <c r="AO68" s="56">
        <f t="shared" si="229"/>
        <v>0</v>
      </c>
      <c r="AP68" s="56">
        <f t="shared" si="230"/>
        <v>0</v>
      </c>
      <c r="AQ68" s="53">
        <f t="shared" si="231"/>
        <v>0</v>
      </c>
      <c r="AR68" s="53">
        <f t="shared" si="232"/>
        <v>0</v>
      </c>
      <c r="AS68" s="39"/>
      <c r="AT68" s="68">
        <f t="shared" si="233"/>
        <v>0</v>
      </c>
      <c r="AU68" s="68">
        <f t="shared" si="234"/>
        <v>0</v>
      </c>
      <c r="AV68" s="68">
        <f t="shared" si="235"/>
        <v>0</v>
      </c>
      <c r="AW68" s="68">
        <f t="shared" si="188"/>
        <v>0</v>
      </c>
      <c r="AX68" s="39"/>
      <c r="AY68" s="39"/>
    </row>
    <row r="69" spans="1:51" x14ac:dyDescent="0.25">
      <c r="A69" s="30">
        <v>2034</v>
      </c>
      <c r="B69" s="33">
        <f>w_uf*UF*Parámetros!C56</f>
        <v>973752.91351126065</v>
      </c>
      <c r="C69" s="30">
        <f t="shared" si="221"/>
        <v>55</v>
      </c>
      <c r="D69" s="30">
        <f>((A69=Inputs!$C$12)*(Inputs!$D$12) + (A69=Inputs!$C$13)*(Inputs!$D$13) + (A69=Inputs!$C$14)*(Inputs!$D$14)) *(A69 &gt;= a_afil)*(A69&gt;=2024)</f>
        <v>0</v>
      </c>
      <c r="E69" s="30">
        <f>MIN(1,(A69=Inputs!$C$19)*Inputs!$D$19+(A69=Inputs!$C$20)*Inputs!$D$20+(A69=Inputs!$C$21)*Inputs!$D$21*(A69 &gt;= a_afil))</f>
        <v>1</v>
      </c>
      <c r="F69" s="30">
        <f t="shared" si="180"/>
        <v>1</v>
      </c>
      <c r="G69" s="30">
        <f t="shared" si="181"/>
        <v>1</v>
      </c>
      <c r="H69" s="30">
        <v>6.4491152763366699E-2</v>
      </c>
      <c r="I69" s="37">
        <f t="shared" si="222"/>
        <v>0.57999999999999996</v>
      </c>
      <c r="J69" s="37">
        <f t="shared" si="223"/>
        <v>0.57999999999999996</v>
      </c>
      <c r="K69" s="30">
        <f>1*OR(Inputs!$D$17=$A69,Inputs!$E$17=$A69)*($E69=0)*(F69=1)</f>
        <v>0</v>
      </c>
      <c r="L69" s="30">
        <f>1*OR(Inputs!$D$17=$A69,Inputs!$E$17=$A69)*($E69=0)*(G69=1)</f>
        <v>0</v>
      </c>
      <c r="M69" s="73">
        <f t="shared" si="245"/>
        <v>271092.81112153496</v>
      </c>
      <c r="N69" s="73">
        <f t="shared" si="246"/>
        <v>271092.81112153496</v>
      </c>
      <c r="O69" s="55">
        <f>Parámetros!$E56*12*I69*$P$14</f>
        <v>361004.73345641157</v>
      </c>
      <c r="P69" s="55">
        <f>Parámetros!$E56*12*J69*$P$14</f>
        <v>361004.73345641157</v>
      </c>
      <c r="Q69" s="70">
        <f t="shared" si="225"/>
        <v>677732.02780383744</v>
      </c>
      <c r="R69" s="70">
        <f t="shared" si="226"/>
        <v>677732.02780383744</v>
      </c>
      <c r="S69" s="68">
        <f t="shared" si="243"/>
        <v>711618.62919402926</v>
      </c>
      <c r="T69" s="68">
        <f t="shared" si="244"/>
        <v>711618.62919402926</v>
      </c>
      <c r="U69" s="33"/>
      <c r="V69" s="68">
        <f t="shared" si="237"/>
        <v>2388319.6346615544</v>
      </c>
      <c r="W69" s="68">
        <f t="shared" si="238"/>
        <v>2388319.6346615544</v>
      </c>
      <c r="X69" s="54">
        <f t="shared" si="194"/>
        <v>28835296.249753781</v>
      </c>
      <c r="Y69" s="54">
        <f t="shared" si="195"/>
        <v>28835296.249753781</v>
      </c>
      <c r="Z69" s="55">
        <f t="shared" si="239"/>
        <v>29238151.922883648</v>
      </c>
      <c r="AA69" s="55">
        <f t="shared" si="240"/>
        <v>29238151.922883648</v>
      </c>
      <c r="AB69" s="53">
        <f>D69*mmater*Parámetros!$G56*$X$5+AB68*(1+i_noc)</f>
        <v>0</v>
      </c>
      <c r="AC69" s="53">
        <f>E69*12*Parámetros!$F56*$X$5+AC68*(1+i_noc)</f>
        <v>468963.66116470512</v>
      </c>
      <c r="AD69" s="53"/>
      <c r="AE69" s="53"/>
      <c r="AF69" s="175"/>
      <c r="AG69" s="74">
        <f t="shared" si="186"/>
        <v>0</v>
      </c>
      <c r="AH69" s="52">
        <f t="shared" si="187"/>
        <v>0</v>
      </c>
      <c r="AI69" s="56">
        <f t="shared" si="227"/>
        <v>0</v>
      </c>
      <c r="AJ69" s="56">
        <f t="shared" si="228"/>
        <v>0</v>
      </c>
      <c r="AK69" s="56"/>
      <c r="AL69" s="56"/>
      <c r="AM69" s="56"/>
      <c r="AN69" s="56"/>
      <c r="AO69" s="56">
        <f t="shared" si="229"/>
        <v>0</v>
      </c>
      <c r="AP69" s="56">
        <f t="shared" si="230"/>
        <v>0</v>
      </c>
      <c r="AQ69" s="53">
        <f t="shared" si="231"/>
        <v>0</v>
      </c>
      <c r="AR69" s="53">
        <f t="shared" si="232"/>
        <v>0</v>
      </c>
      <c r="AS69" s="39"/>
      <c r="AT69" s="68">
        <f t="shared" si="233"/>
        <v>0</v>
      </c>
      <c r="AU69" s="68">
        <f t="shared" si="234"/>
        <v>0</v>
      </c>
      <c r="AV69" s="68">
        <f t="shared" si="235"/>
        <v>0</v>
      </c>
      <c r="AW69" s="68">
        <f t="shared" si="188"/>
        <v>0</v>
      </c>
      <c r="AX69" s="39"/>
      <c r="AY69" s="39"/>
    </row>
    <row r="70" spans="1:51" x14ac:dyDescent="0.25">
      <c r="A70" s="30">
        <v>2035</v>
      </c>
      <c r="B70" s="33">
        <f>w_uf*UF*Parámetros!C57</f>
        <v>985924.82493015134</v>
      </c>
      <c r="C70" s="30">
        <f t="shared" si="221"/>
        <v>56</v>
      </c>
      <c r="D70" s="30">
        <f>((A70=Inputs!$C$12)*(Inputs!$D$12) + (A70=Inputs!$C$13)*(Inputs!$D$13) + (A70=Inputs!$C$14)*(Inputs!$D$14)) *(A70 &gt;= a_afil)*(A70&gt;=2024)</f>
        <v>0</v>
      </c>
      <c r="E70" s="30">
        <f>MIN(1,(A70=Inputs!$C$19)*Inputs!$D$19+(A70=Inputs!$C$20)*Inputs!$D$20+(A70=Inputs!$C$21)*Inputs!$D$21*(A70 &gt;= a_afil))</f>
        <v>0</v>
      </c>
      <c r="F70" s="30">
        <f t="shared" si="180"/>
        <v>1</v>
      </c>
      <c r="G70" s="30">
        <f t="shared" si="181"/>
        <v>1</v>
      </c>
      <c r="H70" s="30">
        <v>0.7560926079750061</v>
      </c>
      <c r="I70" s="37">
        <f t="shared" si="222"/>
        <v>0.57999999999999996</v>
      </c>
      <c r="J70" s="37">
        <f t="shared" si="223"/>
        <v>0.57999999999999996</v>
      </c>
      <c r="K70" s="30">
        <f>1*OR(Inputs!$D$17=$A70,Inputs!$E$17=$A70)*($E70=0)*(F70=1)</f>
        <v>0</v>
      </c>
      <c r="L70" s="30">
        <f>1*OR(Inputs!$D$17=$A70,Inputs!$E$17=$A70)*($E70=0)*(G70=1)</f>
        <v>0</v>
      </c>
      <c r="M70" s="73">
        <f t="shared" si="245"/>
        <v>274481.4712605541</v>
      </c>
      <c r="N70" s="73">
        <f t="shared" si="246"/>
        <v>274481.4712605541</v>
      </c>
      <c r="O70" s="55">
        <f>Parámetros!$E57*12*I70*$P$14</f>
        <v>365517.2926246167</v>
      </c>
      <c r="P70" s="55">
        <f>Parámetros!$E57*12*J70*$P$14</f>
        <v>365517.2926246167</v>
      </c>
      <c r="Q70" s="70">
        <f t="shared" si="225"/>
        <v>686203.67815138539</v>
      </c>
      <c r="R70" s="70">
        <f t="shared" si="226"/>
        <v>686203.67815138539</v>
      </c>
      <c r="S70" s="68">
        <f t="shared" si="243"/>
        <v>720513.86205895466</v>
      </c>
      <c r="T70" s="68">
        <f t="shared" si="244"/>
        <v>720513.86205895466</v>
      </c>
      <c r="U70" s="33"/>
      <c r="V70" s="68">
        <f t="shared" si="237"/>
        <v>2767676.6785898469</v>
      </c>
      <c r="W70" s="68">
        <f t="shared" si="238"/>
        <v>2767676.6785898469</v>
      </c>
      <c r="X70" s="54">
        <f t="shared" si="194"/>
        <v>30496132.941146843</v>
      </c>
      <c r="Y70" s="54">
        <f t="shared" si="195"/>
        <v>30496132.941146843</v>
      </c>
      <c r="Z70" s="55">
        <f t="shared" si="239"/>
        <v>30908225.526069995</v>
      </c>
      <c r="AA70" s="55">
        <f t="shared" si="240"/>
        <v>30908225.526069995</v>
      </c>
      <c r="AB70" s="53">
        <f>D70*mmater*Parámetros!$G57*$X$5+AB69*(1+i_noc)</f>
        <v>0</v>
      </c>
      <c r="AC70" s="53">
        <f>E70*12*Parámetros!$F57*$X$5+AC69*(1+i_noc)</f>
        <v>478342.93438799924</v>
      </c>
      <c r="AD70" s="53"/>
      <c r="AE70" s="53"/>
      <c r="AF70" s="175"/>
      <c r="AG70" s="74">
        <f t="shared" si="186"/>
        <v>0</v>
      </c>
      <c r="AH70" s="52">
        <f t="shared" si="187"/>
        <v>0</v>
      </c>
      <c r="AI70" s="56">
        <f t="shared" si="227"/>
        <v>0</v>
      </c>
      <c r="AJ70" s="56">
        <f t="shared" si="228"/>
        <v>0</v>
      </c>
      <c r="AK70" s="56"/>
      <c r="AL70" s="56"/>
      <c r="AM70" s="56"/>
      <c r="AN70" s="56"/>
      <c r="AO70" s="56">
        <f t="shared" si="229"/>
        <v>0</v>
      </c>
      <c r="AP70" s="56">
        <f t="shared" si="230"/>
        <v>0</v>
      </c>
      <c r="AQ70" s="53">
        <f t="shared" si="231"/>
        <v>0</v>
      </c>
      <c r="AR70" s="53">
        <f t="shared" si="232"/>
        <v>0</v>
      </c>
      <c r="AS70" s="39"/>
      <c r="AT70" s="68">
        <f t="shared" si="233"/>
        <v>0</v>
      </c>
      <c r="AU70" s="68">
        <f t="shared" si="234"/>
        <v>0</v>
      </c>
      <c r="AV70" s="68">
        <f t="shared" si="235"/>
        <v>0</v>
      </c>
      <c r="AW70" s="68">
        <f t="shared" si="188"/>
        <v>0</v>
      </c>
      <c r="AX70" s="39"/>
      <c r="AY70" s="39"/>
    </row>
    <row r="71" spans="1:51" x14ac:dyDescent="0.25">
      <c r="A71" s="30">
        <v>2036</v>
      </c>
      <c r="B71" s="33">
        <f>w_uf*UF*Parámetros!C58</f>
        <v>998248.88524177822</v>
      </c>
      <c r="C71" s="30">
        <f t="shared" si="221"/>
        <v>57</v>
      </c>
      <c r="D71" s="30">
        <f>((A71=Inputs!$C$12)*(Inputs!$D$12) + (A71=Inputs!$C$13)*(Inputs!$D$13) + (A71=Inputs!$C$14)*(Inputs!$D$14)) *(A71 &gt;= a_afil)*(A71&gt;=2024)</f>
        <v>0</v>
      </c>
      <c r="E71" s="30">
        <f>MIN(1,(A71=Inputs!$C$19)*Inputs!$D$19+(A71=Inputs!$C$20)*Inputs!$D$20+(A71=Inputs!$C$21)*Inputs!$D$21*(A71 &gt;= a_afil))</f>
        <v>0</v>
      </c>
      <c r="F71" s="30">
        <f t="shared" si="180"/>
        <v>1</v>
      </c>
      <c r="G71" s="30">
        <f t="shared" si="181"/>
        <v>1</v>
      </c>
      <c r="H71" s="30">
        <v>0.70051431655883789</v>
      </c>
      <c r="I71" s="37">
        <f t="shared" si="222"/>
        <v>0.57999999999999996</v>
      </c>
      <c r="J71" s="37">
        <f t="shared" si="223"/>
        <v>0.57999999999999996</v>
      </c>
      <c r="K71" s="30">
        <f>1*OR(Inputs!$D$17=$A71,Inputs!$E$17=$A71)*($E71=0)*(F71=1)</f>
        <v>0</v>
      </c>
      <c r="L71" s="30">
        <f>1*OR(Inputs!$D$17=$A71,Inputs!$E$17=$A71)*($E71=0)*(G71=1)</f>
        <v>0</v>
      </c>
      <c r="M71" s="73">
        <f t="shared" si="245"/>
        <v>277912.48965131107</v>
      </c>
      <c r="N71" s="73">
        <f t="shared" si="246"/>
        <v>277912.48965131107</v>
      </c>
      <c r="O71" s="55">
        <f>Parámetros!$E58*12*I71*$P$14</f>
        <v>370086.2587824245</v>
      </c>
      <c r="P71" s="55">
        <f>Parámetros!$E58*12*J71*$P$14</f>
        <v>370086.2587824245</v>
      </c>
      <c r="Q71" s="70">
        <f t="shared" si="225"/>
        <v>694781.22412827762</v>
      </c>
      <c r="R71" s="70">
        <f t="shared" si="226"/>
        <v>694781.22412827762</v>
      </c>
      <c r="S71" s="68">
        <f t="shared" si="243"/>
        <v>729520.28533469152</v>
      </c>
      <c r="T71" s="68">
        <f t="shared" si="244"/>
        <v>729520.28533469152</v>
      </c>
      <c r="U71" s="33"/>
      <c r="V71" s="68">
        <f t="shared" si="237"/>
        <v>3163126.4038044116</v>
      </c>
      <c r="W71" s="68">
        <f t="shared" si="238"/>
        <v>3163126.4038044116</v>
      </c>
      <c r="X71" s="54">
        <f t="shared" si="194"/>
        <v>32221683.458685882</v>
      </c>
      <c r="Y71" s="54">
        <f t="shared" si="195"/>
        <v>32221683.458685882</v>
      </c>
      <c r="Z71" s="55">
        <f t="shared" si="239"/>
        <v>32641544.092043325</v>
      </c>
      <c r="AA71" s="55">
        <f t="shared" si="240"/>
        <v>32641544.092043325</v>
      </c>
      <c r="AB71" s="53">
        <f>D71*mmater*Parámetros!$G58*$X$5+AB70*(1+i_noc)</f>
        <v>0</v>
      </c>
      <c r="AC71" s="53">
        <f>E71*12*Parámetros!$F58*$X$5+AC70*(1+i_noc)</f>
        <v>487909.79307575925</v>
      </c>
      <c r="AD71" s="53"/>
      <c r="AE71" s="53"/>
      <c r="AF71" s="175"/>
      <c r="AG71" s="74">
        <f t="shared" si="186"/>
        <v>0</v>
      </c>
      <c r="AH71" s="52">
        <f t="shared" si="187"/>
        <v>0</v>
      </c>
      <c r="AI71" s="56">
        <f t="shared" si="227"/>
        <v>0</v>
      </c>
      <c r="AJ71" s="56">
        <f t="shared" si="228"/>
        <v>0</v>
      </c>
      <c r="AK71" s="56"/>
      <c r="AL71" s="56"/>
      <c r="AM71" s="56"/>
      <c r="AN71" s="56"/>
      <c r="AO71" s="56">
        <f t="shared" si="229"/>
        <v>0</v>
      </c>
      <c r="AP71" s="56">
        <f t="shared" si="230"/>
        <v>0</v>
      </c>
      <c r="AQ71" s="53">
        <f t="shared" si="231"/>
        <v>0</v>
      </c>
      <c r="AR71" s="53">
        <f t="shared" si="232"/>
        <v>0</v>
      </c>
      <c r="AS71" s="39"/>
      <c r="AT71" s="68">
        <f t="shared" si="233"/>
        <v>0</v>
      </c>
      <c r="AU71" s="68">
        <f t="shared" si="234"/>
        <v>0</v>
      </c>
      <c r="AV71" s="68">
        <f t="shared" si="235"/>
        <v>0</v>
      </c>
      <c r="AW71" s="68">
        <f t="shared" si="188"/>
        <v>0</v>
      </c>
      <c r="AX71" s="39"/>
      <c r="AY71" s="39"/>
    </row>
    <row r="72" spans="1:51" x14ac:dyDescent="0.25">
      <c r="A72" s="30">
        <v>2037</v>
      </c>
      <c r="B72" s="33">
        <f>w_uf*UF*Parámetros!C59</f>
        <v>1010726.9963073004</v>
      </c>
      <c r="C72" s="30">
        <f t="shared" si="221"/>
        <v>58</v>
      </c>
      <c r="D72" s="30">
        <f>((A72=Inputs!$C$12)*(Inputs!$D$12) + (A72=Inputs!$C$13)*(Inputs!$D$13) + (A72=Inputs!$C$14)*(Inputs!$D$14)) *(A72 &gt;= a_afil)*(A72&gt;=2024)</f>
        <v>0</v>
      </c>
      <c r="E72" s="30">
        <f>MIN(1,(A72=Inputs!$C$19)*Inputs!$D$19+(A72=Inputs!$C$20)*Inputs!$D$20+(A72=Inputs!$C$21)*Inputs!$D$21*(A72 &gt;= a_afil))</f>
        <v>0</v>
      </c>
      <c r="F72" s="30">
        <f t="shared" si="180"/>
        <v>1</v>
      </c>
      <c r="G72" s="30">
        <f t="shared" si="181"/>
        <v>1</v>
      </c>
      <c r="H72" s="30">
        <v>0.49707096815109253</v>
      </c>
      <c r="I72" s="37">
        <f t="shared" si="222"/>
        <v>0.57999999999999996</v>
      </c>
      <c r="J72" s="37">
        <f t="shared" si="223"/>
        <v>0.57999999999999996</v>
      </c>
      <c r="K72" s="30">
        <f>1*OR(Inputs!$D$17=$A72,Inputs!$E$17=$A72)*($E72=0)*(F72=1)</f>
        <v>0</v>
      </c>
      <c r="L72" s="30">
        <f>1*OR(Inputs!$D$17=$A72,Inputs!$E$17=$A72)*($E72=0)*(G72=1)</f>
        <v>0</v>
      </c>
      <c r="M72" s="73">
        <f t="shared" si="245"/>
        <v>281386.3957719524</v>
      </c>
      <c r="N72" s="73">
        <f t="shared" si="246"/>
        <v>281386.3957719524</v>
      </c>
      <c r="O72" s="55">
        <f>Parámetros!$E59*12*I72*$P$14</f>
        <v>374712.33701720467</v>
      </c>
      <c r="P72" s="55">
        <f>Parámetros!$E59*12*J72*$P$14</f>
        <v>374712.33701720467</v>
      </c>
      <c r="Q72" s="70">
        <f t="shared" si="225"/>
        <v>703465.9894298811</v>
      </c>
      <c r="R72" s="70">
        <f t="shared" si="226"/>
        <v>703465.9894298811</v>
      </c>
      <c r="S72" s="68">
        <f t="shared" si="243"/>
        <v>738639.28890137514</v>
      </c>
      <c r="T72" s="68">
        <f t="shared" si="244"/>
        <v>738639.28890137514</v>
      </c>
      <c r="U72" s="33"/>
      <c r="V72" s="68">
        <f t="shared" si="237"/>
        <v>3575238.6031009257</v>
      </c>
      <c r="W72" s="68">
        <f t="shared" si="238"/>
        <v>3575238.6031009257</v>
      </c>
      <c r="X72" s="54">
        <f t="shared" si="194"/>
        <v>34014242.349019349</v>
      </c>
      <c r="Y72" s="54">
        <f t="shared" si="195"/>
        <v>34014242.349019349</v>
      </c>
      <c r="Z72" s="55">
        <f t="shared" si="239"/>
        <v>34440274.191054352</v>
      </c>
      <c r="AA72" s="55">
        <f t="shared" si="240"/>
        <v>34440274.191054352</v>
      </c>
      <c r="AB72" s="53">
        <f>D72*mmater*Parámetros!$G59*$X$5+AB71*(1+i_noc)</f>
        <v>0</v>
      </c>
      <c r="AC72" s="53">
        <f>E72*12*Parámetros!$F59*$X$5+AC71*(1+i_noc)</f>
        <v>497667.98893727444</v>
      </c>
      <c r="AD72" s="53"/>
      <c r="AE72" s="53"/>
      <c r="AF72" s="175"/>
      <c r="AG72" s="74">
        <f t="shared" si="186"/>
        <v>0</v>
      </c>
      <c r="AH72" s="52">
        <f t="shared" si="187"/>
        <v>0</v>
      </c>
      <c r="AI72" s="56">
        <f t="shared" si="227"/>
        <v>0</v>
      </c>
      <c r="AJ72" s="56">
        <f t="shared" si="228"/>
        <v>0</v>
      </c>
      <c r="AK72" s="56"/>
      <c r="AL72" s="56"/>
      <c r="AM72" s="56"/>
      <c r="AN72" s="56"/>
      <c r="AO72" s="56">
        <f t="shared" si="229"/>
        <v>0</v>
      </c>
      <c r="AP72" s="56">
        <f t="shared" si="230"/>
        <v>0</v>
      </c>
      <c r="AQ72" s="53">
        <f t="shared" si="231"/>
        <v>0</v>
      </c>
      <c r="AR72" s="53">
        <f t="shared" si="232"/>
        <v>0</v>
      </c>
      <c r="AS72" s="39"/>
      <c r="AT72" s="68">
        <f t="shared" si="233"/>
        <v>0</v>
      </c>
      <c r="AU72" s="68">
        <f t="shared" si="234"/>
        <v>0</v>
      </c>
      <c r="AV72" s="68">
        <f t="shared" si="235"/>
        <v>0</v>
      </c>
      <c r="AW72" s="68">
        <f t="shared" si="188"/>
        <v>0</v>
      </c>
      <c r="AX72" s="39"/>
      <c r="AY72" s="39"/>
    </row>
    <row r="73" spans="1:51" x14ac:dyDescent="0.25">
      <c r="A73" s="30">
        <v>2038</v>
      </c>
      <c r="B73" s="33">
        <f>w_uf*UF*Parámetros!C60</f>
        <v>1023361.0837611416</v>
      </c>
      <c r="C73" s="30">
        <f t="shared" si="221"/>
        <v>59</v>
      </c>
      <c r="D73" s="30">
        <f>((A73=Inputs!$C$12)*(Inputs!$D$12) + (A73=Inputs!$C$13)*(Inputs!$D$13) + (A73=Inputs!$C$14)*(Inputs!$D$14)) *(A73 &gt;= a_afil)*(A73&gt;=2024)</f>
        <v>0</v>
      </c>
      <c r="E73" s="30">
        <f>MIN(1,(A73=Inputs!$C$19)*Inputs!$D$19+(A73=Inputs!$C$20)*Inputs!$D$20+(A73=Inputs!$C$21)*Inputs!$D$21*(A73 &gt;= a_afil))</f>
        <v>0</v>
      </c>
      <c r="F73" s="30">
        <f t="shared" si="180"/>
        <v>1</v>
      </c>
      <c r="G73" s="30">
        <f t="shared" si="181"/>
        <v>1</v>
      </c>
      <c r="H73" s="30">
        <v>0.15543568134307861</v>
      </c>
      <c r="I73" s="37">
        <f t="shared" si="222"/>
        <v>0.57999999999999996</v>
      </c>
      <c r="J73" s="37">
        <f t="shared" si="223"/>
        <v>0.57999999999999996</v>
      </c>
      <c r="K73" s="30">
        <f>1*OR(Inputs!$D$17=$A73,Inputs!$E$17=$A73)*($E73=0)*(F73=1)</f>
        <v>0</v>
      </c>
      <c r="L73" s="30">
        <f>1*OR(Inputs!$D$17=$A73,Inputs!$E$17=$A73)*($E73=0)*(G73=1)</f>
        <v>0</v>
      </c>
      <c r="M73" s="73">
        <f t="shared" si="245"/>
        <v>284903.72571910179</v>
      </c>
      <c r="N73" s="73">
        <f t="shared" si="246"/>
        <v>284903.72571910179</v>
      </c>
      <c r="O73" s="55">
        <f>Parámetros!$E60*12*I73*$P$14</f>
        <v>379396.24122991977</v>
      </c>
      <c r="P73" s="55">
        <f>Parámetros!$E60*12*J73*$P$14</f>
        <v>379396.24122991977</v>
      </c>
      <c r="Q73" s="70">
        <f t="shared" si="225"/>
        <v>712259.31429775455</v>
      </c>
      <c r="R73" s="70">
        <f t="shared" si="226"/>
        <v>712259.31429775455</v>
      </c>
      <c r="S73" s="68">
        <f t="shared" si="243"/>
        <v>747872.28001264227</v>
      </c>
      <c r="T73" s="68">
        <f t="shared" si="244"/>
        <v>747872.28001264227</v>
      </c>
      <c r="U73" s="33"/>
      <c r="V73" s="68">
        <f t="shared" si="237"/>
        <v>4004602.1637231903</v>
      </c>
      <c r="W73" s="68">
        <f t="shared" si="238"/>
        <v>4004602.1637231903</v>
      </c>
      <c r="X73" s="54">
        <f t="shared" si="194"/>
        <v>35876183.054713964</v>
      </c>
      <c r="Y73" s="54">
        <f t="shared" si="195"/>
        <v>35876183.054713964</v>
      </c>
      <c r="Z73" s="55">
        <f t="shared" si="239"/>
        <v>36306654.163737483</v>
      </c>
      <c r="AA73" s="55">
        <f t="shared" si="240"/>
        <v>36306654.163737483</v>
      </c>
      <c r="AB73" s="53">
        <f>D73*mmater*Parámetros!$G60*$X$5+AB72*(1+i_noc)</f>
        <v>0</v>
      </c>
      <c r="AC73" s="53">
        <f>E73*12*Parámetros!$F60*$X$5+AC72*(1+i_noc)</f>
        <v>507621.34871601994</v>
      </c>
      <c r="AD73" s="53"/>
      <c r="AE73" s="53"/>
      <c r="AF73" s="175"/>
      <c r="AG73" s="74">
        <f t="shared" si="186"/>
        <v>0</v>
      </c>
      <c r="AH73" s="52">
        <f t="shared" si="187"/>
        <v>0</v>
      </c>
      <c r="AI73" s="56">
        <f t="shared" si="227"/>
        <v>0</v>
      </c>
      <c r="AJ73" s="56">
        <f t="shared" si="228"/>
        <v>0</v>
      </c>
      <c r="AK73" s="56"/>
      <c r="AL73" s="56"/>
      <c r="AM73" s="56"/>
      <c r="AN73" s="56"/>
      <c r="AO73" s="56">
        <f t="shared" si="229"/>
        <v>0</v>
      </c>
      <c r="AP73" s="56">
        <f t="shared" si="230"/>
        <v>0</v>
      </c>
      <c r="AQ73" s="53">
        <f t="shared" si="231"/>
        <v>0</v>
      </c>
      <c r="AR73" s="53">
        <f t="shared" si="232"/>
        <v>0</v>
      </c>
      <c r="AS73" s="39"/>
      <c r="AT73" s="68">
        <f t="shared" si="233"/>
        <v>0</v>
      </c>
      <c r="AU73" s="68">
        <f t="shared" si="234"/>
        <v>0</v>
      </c>
      <c r="AV73" s="68">
        <f t="shared" si="235"/>
        <v>0</v>
      </c>
      <c r="AW73" s="68">
        <f t="shared" si="188"/>
        <v>0</v>
      </c>
      <c r="AX73" s="39"/>
      <c r="AY73" s="39"/>
    </row>
    <row r="74" spans="1:51" x14ac:dyDescent="0.25">
      <c r="A74" s="30">
        <v>2039</v>
      </c>
      <c r="B74" s="33">
        <f>w_uf*UF*Parámetros!C61</f>
        <v>1036153.0973081558</v>
      </c>
      <c r="C74" s="30">
        <f t="shared" si="221"/>
        <v>60</v>
      </c>
      <c r="D74" s="30">
        <f>((A74=Inputs!$C$12)*(Inputs!$D$12) + (A74=Inputs!$C$13)*(Inputs!$D$13) + (A74=Inputs!$C$14)*(Inputs!$D$14)) *(A74 &gt;= a_afil)*(A74&gt;=2024)</f>
        <v>0</v>
      </c>
      <c r="E74" s="30">
        <f>MIN(1,(A74=Inputs!$C$19)*Inputs!$D$19+(A74=Inputs!$C$20)*Inputs!$D$20+(A74=Inputs!$C$21)*Inputs!$D$21*(A74 &gt;= a_afil))</f>
        <v>0</v>
      </c>
      <c r="F74" s="30">
        <f t="shared" si="180"/>
        <v>1</v>
      </c>
      <c r="G74" s="30">
        <f t="shared" si="181"/>
        <v>1</v>
      </c>
      <c r="H74" s="30">
        <v>0.22373753786087036</v>
      </c>
      <c r="I74" s="37">
        <f t="shared" si="222"/>
        <v>0.57999999999999996</v>
      </c>
      <c r="J74" s="37">
        <f t="shared" si="223"/>
        <v>0.57999999999999996</v>
      </c>
      <c r="K74" s="30">
        <f>1*OR(Inputs!$D$17=$A74,Inputs!$E$17=$A74)*($E74=0)*(F74=1)</f>
        <v>0</v>
      </c>
      <c r="L74" s="30">
        <f>1*OR(Inputs!$D$17=$A74,Inputs!$E$17=$A74)*($E74=0)*(G74=1)</f>
        <v>0</v>
      </c>
      <c r="M74" s="73">
        <f t="shared" si="245"/>
        <v>288465.02229059057</v>
      </c>
      <c r="N74" s="73">
        <f t="shared" si="246"/>
        <v>288465.02229059057</v>
      </c>
      <c r="O74" s="55">
        <f>Parámetros!$E61*12*I74*$P$14</f>
        <v>384138.69424529374</v>
      </c>
      <c r="P74" s="55">
        <f>Parámetros!$E61*12*J74*$P$14</f>
        <v>384138.69424529374</v>
      </c>
      <c r="Q74" s="70">
        <f t="shared" si="225"/>
        <v>721162.55572647648</v>
      </c>
      <c r="R74" s="70">
        <f t="shared" si="226"/>
        <v>721162.55572647648</v>
      </c>
      <c r="S74" s="68">
        <f t="shared" si="243"/>
        <v>757220.68351280026</v>
      </c>
      <c r="T74" s="68">
        <f t="shared" si="244"/>
        <v>757220.68351280026</v>
      </c>
      <c r="U74" s="177"/>
      <c r="V74" s="68">
        <f t="shared" si="237"/>
        <v>4451825.6948564593</v>
      </c>
      <c r="W74" s="68">
        <f t="shared" si="238"/>
        <v>4451825.6948564593</v>
      </c>
      <c r="X74" s="54">
        <f t="shared" si="194"/>
        <v>37809960.597689778</v>
      </c>
      <c r="Y74" s="54">
        <f t="shared" si="195"/>
        <v>37809960.597689778</v>
      </c>
      <c r="Z74" s="55">
        <f t="shared" si="239"/>
        <v>38242996.469569288</v>
      </c>
      <c r="AA74" s="55">
        <f t="shared" si="240"/>
        <v>38242996.469569288</v>
      </c>
      <c r="AB74" s="53">
        <f>D74*mmater*Parámetros!$G61*$X$5+AB73*(1+i_noc)</f>
        <v>0</v>
      </c>
      <c r="AC74" s="53">
        <f>E74*12*Parámetros!$F61*$X$5+AC73*(1+i_noc)</f>
        <v>517773.77569034038</v>
      </c>
      <c r="AD74" s="53"/>
      <c r="AE74" s="53"/>
      <c r="AF74" s="175"/>
      <c r="AG74" s="74">
        <f t="shared" si="186"/>
        <v>0</v>
      </c>
      <c r="AH74" s="52">
        <f t="shared" si="187"/>
        <v>0</v>
      </c>
      <c r="AI74" s="56">
        <f t="shared" si="227"/>
        <v>0</v>
      </c>
      <c r="AJ74" s="56">
        <f t="shared" si="228"/>
        <v>0</v>
      </c>
      <c r="AK74" s="56"/>
      <c r="AL74" s="56"/>
      <c r="AM74" s="56"/>
      <c r="AN74" s="56"/>
      <c r="AO74" s="56">
        <f t="shared" si="229"/>
        <v>0</v>
      </c>
      <c r="AP74" s="56">
        <f t="shared" si="230"/>
        <v>0</v>
      </c>
      <c r="AQ74" s="53">
        <f t="shared" si="231"/>
        <v>0</v>
      </c>
      <c r="AR74" s="53">
        <f t="shared" si="232"/>
        <v>0</v>
      </c>
      <c r="AS74" s="39"/>
      <c r="AT74" s="68">
        <f t="shared" si="233"/>
        <v>0</v>
      </c>
      <c r="AU74" s="68">
        <f t="shared" si="234"/>
        <v>0</v>
      </c>
      <c r="AV74" s="68">
        <f t="shared" si="235"/>
        <v>0</v>
      </c>
      <c r="AW74" s="68">
        <f t="shared" si="188"/>
        <v>0</v>
      </c>
      <c r="AX74" s="39"/>
      <c r="AY74" s="39"/>
    </row>
    <row r="75" spans="1:51" x14ac:dyDescent="0.25">
      <c r="A75" s="30">
        <v>2040</v>
      </c>
      <c r="B75" s="33">
        <f>w_uf*UF*Parámetros!C62</f>
        <v>1049105.0110245079</v>
      </c>
      <c r="C75" s="30">
        <f t="shared" si="221"/>
        <v>61</v>
      </c>
      <c r="D75" s="30">
        <f>((A75=Inputs!$C$12)*(Inputs!$D$12) + (A75=Inputs!$C$13)*(Inputs!$D$13) + (A75=Inputs!$C$14)*(Inputs!$D$14)) *(A75 &gt;= a_afil)*(A75&gt;=2024)</f>
        <v>0</v>
      </c>
      <c r="E75" s="30">
        <f>MIN(1,(A75=Inputs!$C$19)*Inputs!$D$19+(A75=Inputs!$C$20)*Inputs!$D$20+(A75=Inputs!$C$21)*Inputs!$D$21*(A75 &gt;= a_afil))</f>
        <v>0</v>
      </c>
      <c r="F75" s="30">
        <f t="shared" si="180"/>
        <v>1</v>
      </c>
      <c r="G75" s="30">
        <f t="shared" si="181"/>
        <v>1</v>
      </c>
      <c r="H75" s="30">
        <v>0.32614398002624512</v>
      </c>
      <c r="I75" s="37">
        <f t="shared" si="222"/>
        <v>0.57999999999999996</v>
      </c>
      <c r="J75" s="37">
        <f t="shared" si="223"/>
        <v>0.57999999999999996</v>
      </c>
      <c r="K75" s="30">
        <f>1*OR(Inputs!$D$17=$A75,Inputs!$E$17=$A75)*($E75=0)*(F75=1)</f>
        <v>0</v>
      </c>
      <c r="L75" s="30">
        <f>1*OR(Inputs!$D$17=$A75,Inputs!$E$17=$A75)*($E75=0)*(G75=1)</f>
        <v>0</v>
      </c>
      <c r="M75" s="73">
        <f t="shared" si="245"/>
        <v>292070.83506922302</v>
      </c>
      <c r="N75" s="73">
        <f t="shared" si="246"/>
        <v>292070.83506922302</v>
      </c>
      <c r="O75" s="55">
        <f>Parámetros!$E62*12*I75*$P$14</f>
        <v>388940.42792335985</v>
      </c>
      <c r="P75" s="55">
        <f>Parámetros!$E62*12*J75*$P$14</f>
        <v>388940.42792335985</v>
      </c>
      <c r="Q75" s="70">
        <f t="shared" si="225"/>
        <v>730177.08767305757</v>
      </c>
      <c r="R75" s="70">
        <f t="shared" si="226"/>
        <v>730177.08767305757</v>
      </c>
      <c r="S75" s="68">
        <f t="shared" si="243"/>
        <v>766685.94205671037</v>
      </c>
      <c r="T75" s="68">
        <f t="shared" si="244"/>
        <v>766685.94205671037</v>
      </c>
      <c r="U75" s="177"/>
      <c r="V75" s="68">
        <f t="shared" si="237"/>
        <v>4917538.1755917929</v>
      </c>
      <c r="W75" s="68">
        <f t="shared" si="238"/>
        <v>4917538.1755917929</v>
      </c>
      <c r="X75" s="54">
        <f t="shared" si="194"/>
        <v>39818114.353564754</v>
      </c>
      <c r="Y75" s="54">
        <f t="shared" si="195"/>
        <v>39818114.353564754</v>
      </c>
      <c r="Z75" s="55">
        <f t="shared" si="239"/>
        <v>40251690.111817136</v>
      </c>
      <c r="AA75" s="55">
        <f t="shared" si="240"/>
        <v>40251690.111817136</v>
      </c>
      <c r="AB75" s="53">
        <f>D75*mmater*Parámetros!$G62*$X$5+AB74*(1+i_noc)</f>
        <v>0</v>
      </c>
      <c r="AC75" s="53">
        <f>E75*12*Parámetros!$F62*$X$5+AC74*(1+i_noc)</f>
        <v>528129.25120414724</v>
      </c>
      <c r="AD75" s="53"/>
      <c r="AE75" s="53"/>
      <c r="AF75" s="175"/>
      <c r="AG75" s="74">
        <f t="shared" si="186"/>
        <v>0</v>
      </c>
      <c r="AH75" s="52">
        <f t="shared" si="187"/>
        <v>0</v>
      </c>
      <c r="AI75" s="56">
        <f t="shared" si="227"/>
        <v>0</v>
      </c>
      <c r="AJ75" s="56">
        <f t="shared" si="228"/>
        <v>0</v>
      </c>
      <c r="AK75" s="56"/>
      <c r="AL75" s="56"/>
      <c r="AM75" s="56"/>
      <c r="AN75" s="56"/>
      <c r="AO75" s="56">
        <f t="shared" si="229"/>
        <v>0</v>
      </c>
      <c r="AP75" s="56">
        <f t="shared" si="230"/>
        <v>0</v>
      </c>
      <c r="AQ75" s="53">
        <f t="shared" si="231"/>
        <v>0</v>
      </c>
      <c r="AR75" s="53">
        <f t="shared" si="232"/>
        <v>0</v>
      </c>
      <c r="AS75" s="39"/>
      <c r="AT75" s="68">
        <f t="shared" si="233"/>
        <v>0</v>
      </c>
      <c r="AU75" s="68">
        <f t="shared" si="234"/>
        <v>0</v>
      </c>
      <c r="AV75" s="68">
        <f t="shared" si="235"/>
        <v>0</v>
      </c>
      <c r="AW75" s="68">
        <f t="shared" si="188"/>
        <v>0</v>
      </c>
      <c r="AX75" s="39"/>
      <c r="AY75" s="39"/>
    </row>
    <row r="76" spans="1:51" x14ac:dyDescent="0.25">
      <c r="A76" s="30">
        <v>2041</v>
      </c>
      <c r="B76" s="33">
        <f>w_uf*UF*Parámetros!C63</f>
        <v>1062218.8236623141</v>
      </c>
      <c r="C76" s="30">
        <f t="shared" si="221"/>
        <v>62</v>
      </c>
      <c r="D76" s="30">
        <f>((A76=Inputs!$C$12)*(Inputs!$D$12) + (A76=Inputs!$C$13)*(Inputs!$D$13) + (A76=Inputs!$C$14)*(Inputs!$D$14)) *(A76 &gt;= a_afil)*(A76&gt;=2024)</f>
        <v>0</v>
      </c>
      <c r="E76" s="30">
        <f>MIN(1,(A76=Inputs!$C$19)*Inputs!$D$19+(A76=Inputs!$C$20)*Inputs!$D$20+(A76=Inputs!$C$21)*Inputs!$D$21*(A76 &gt;= a_afil))</f>
        <v>0</v>
      </c>
      <c r="F76" s="30">
        <f t="shared" si="180"/>
        <v>1</v>
      </c>
      <c r="G76" s="30">
        <f t="shared" si="181"/>
        <v>1</v>
      </c>
      <c r="H76" s="30">
        <v>0.78448861837387085</v>
      </c>
      <c r="I76" s="37">
        <f t="shared" si="222"/>
        <v>0.57999999999999996</v>
      </c>
      <c r="J76" s="37">
        <f t="shared" si="223"/>
        <v>0.57999999999999996</v>
      </c>
      <c r="K76" s="30">
        <f>1*OR(Inputs!$D$17=$A76,Inputs!$E$17=$A76)*($E76=0)*(F76=1)</f>
        <v>0</v>
      </c>
      <c r="L76" s="30">
        <f>1*OR(Inputs!$D$17=$A76,Inputs!$E$17=$A76)*($E76=0)*(G76=1)</f>
        <v>0</v>
      </c>
      <c r="M76" s="73">
        <f t="shared" si="245"/>
        <v>295721.72050758824</v>
      </c>
      <c r="N76" s="73">
        <f t="shared" si="246"/>
        <v>295721.72050758824</v>
      </c>
      <c r="O76" s="55">
        <f>Parámetros!$E63*12*I76*$P$14</f>
        <v>393802.18327240192</v>
      </c>
      <c r="P76" s="55">
        <f>Parámetros!$E63*12*J76*$P$14</f>
        <v>393802.18327240192</v>
      </c>
      <c r="Q76" s="70">
        <f t="shared" si="225"/>
        <v>739304.30126897059</v>
      </c>
      <c r="R76" s="70">
        <f t="shared" si="226"/>
        <v>739304.30126897059</v>
      </c>
      <c r="S76" s="68">
        <f t="shared" si="243"/>
        <v>776269.51633241912</v>
      </c>
      <c r="T76" s="68">
        <f t="shared" si="244"/>
        <v>776269.51633241912</v>
      </c>
      <c r="U76" s="177"/>
      <c r="V76" s="68">
        <f t="shared" si="237"/>
        <v>5402389.6240274431</v>
      </c>
      <c r="W76" s="68">
        <f t="shared" si="238"/>
        <v>5402389.6240274431</v>
      </c>
      <c r="X76" s="54">
        <f t="shared" si="194"/>
        <v>41903270.919984214</v>
      </c>
      <c r="Y76" s="54">
        <f t="shared" si="195"/>
        <v>41903270.919984214</v>
      </c>
      <c r="Z76" s="55">
        <f t="shared" si="239"/>
        <v>42335203.141464852</v>
      </c>
      <c r="AA76" s="55">
        <f t="shared" si="240"/>
        <v>42335203.141464852</v>
      </c>
      <c r="AB76" s="53">
        <f>D76*mmater*Parámetros!$G63*$X$5+AB75*(1+i_noc)</f>
        <v>0</v>
      </c>
      <c r="AC76" s="53">
        <f>E76*12*Parámetros!$F63*$X$5+AC75*(1+i_noc)</f>
        <v>538691.83622823015</v>
      </c>
      <c r="AD76" s="53"/>
      <c r="AE76" s="53"/>
      <c r="AF76" s="175"/>
      <c r="AG76" s="74">
        <f t="shared" si="186"/>
        <v>0</v>
      </c>
      <c r="AH76" s="52">
        <f t="shared" si="187"/>
        <v>0</v>
      </c>
      <c r="AI76" s="56">
        <f t="shared" si="227"/>
        <v>0</v>
      </c>
      <c r="AJ76" s="56">
        <f t="shared" si="228"/>
        <v>0</v>
      </c>
      <c r="AK76" s="56"/>
      <c r="AL76" s="56"/>
      <c r="AM76" s="56"/>
      <c r="AN76" s="56"/>
      <c r="AO76" s="56">
        <f t="shared" si="229"/>
        <v>0</v>
      </c>
      <c r="AP76" s="56">
        <f t="shared" si="230"/>
        <v>0</v>
      </c>
      <c r="AQ76" s="53">
        <f t="shared" si="231"/>
        <v>0</v>
      </c>
      <c r="AR76" s="53">
        <f t="shared" si="232"/>
        <v>0</v>
      </c>
      <c r="AS76" s="39"/>
      <c r="AT76" s="68">
        <f t="shared" si="233"/>
        <v>0</v>
      </c>
      <c r="AU76" s="68">
        <f t="shared" si="234"/>
        <v>0</v>
      </c>
      <c r="AV76" s="68">
        <f t="shared" si="235"/>
        <v>0</v>
      </c>
      <c r="AW76" s="68">
        <f t="shared" si="188"/>
        <v>0</v>
      </c>
      <c r="AX76" s="39"/>
      <c r="AY76" s="39"/>
    </row>
    <row r="77" spans="1:51" x14ac:dyDescent="0.25">
      <c r="A77" s="30">
        <v>2042</v>
      </c>
      <c r="B77" s="33">
        <f>w_uf*UF*Parámetros!C64</f>
        <v>1075496.5589580929</v>
      </c>
      <c r="C77" s="30">
        <f t="shared" si="221"/>
        <v>63</v>
      </c>
      <c r="D77" s="30">
        <f>((A77=Inputs!$C$12)*(Inputs!$D$12) + (A77=Inputs!$C$13)*(Inputs!$D$13) + (A77=Inputs!$C$14)*(Inputs!$D$14)) *(A77 &gt;= a_afil)*(A77&gt;=2024)</f>
        <v>0</v>
      </c>
      <c r="E77" s="30">
        <f>MIN(1,(A77=Inputs!$C$19)*Inputs!$D$19+(A77=Inputs!$C$20)*Inputs!$D$20+(A77=Inputs!$C$21)*Inputs!$D$21*(A77 &gt;= a_afil))</f>
        <v>0</v>
      </c>
      <c r="F77" s="30">
        <f t="shared" si="180"/>
        <v>1</v>
      </c>
      <c r="G77" s="30">
        <f t="shared" si="181"/>
        <v>1</v>
      </c>
      <c r="H77" s="30">
        <v>5.0262808799743652E-2</v>
      </c>
      <c r="I77" s="37">
        <f t="shared" si="222"/>
        <v>0.57999999999999996</v>
      </c>
      <c r="J77" s="37">
        <f t="shared" si="223"/>
        <v>0.57999999999999996</v>
      </c>
      <c r="K77" s="30">
        <f>1*OR(Inputs!$D$17=$A77,Inputs!$E$17=$A77)*($E77=0)*(F77=1)</f>
        <v>0</v>
      </c>
      <c r="L77" s="30">
        <f>1*OR(Inputs!$D$17=$A77,Inputs!$E$17=$A77)*($E77=0)*(G77=1)</f>
        <v>0</v>
      </c>
      <c r="M77" s="73">
        <f t="shared" si="245"/>
        <v>299418.24201393308</v>
      </c>
      <c r="N77" s="73">
        <f t="shared" si="246"/>
        <v>299418.24201393308</v>
      </c>
      <c r="O77" s="55">
        <f>Parámetros!$E64*12*I77*$P$14</f>
        <v>398724.71056330699</v>
      </c>
      <c r="P77" s="55">
        <f>Parámetros!$E64*12*J77*$P$14</f>
        <v>398724.71056330699</v>
      </c>
      <c r="Q77" s="70">
        <f t="shared" si="225"/>
        <v>748545.60503483273</v>
      </c>
      <c r="R77" s="70">
        <f t="shared" si="226"/>
        <v>748545.60503483273</v>
      </c>
      <c r="S77" s="68">
        <f t="shared" si="243"/>
        <v>785972.88528657437</v>
      </c>
      <c r="T77" s="68">
        <f t="shared" si="244"/>
        <v>785972.88528657437</v>
      </c>
      <c r="U77" s="177"/>
      <c r="V77" s="68">
        <f t="shared" si="237"/>
        <v>5907051.7881948678</v>
      </c>
      <c r="W77" s="68">
        <f t="shared" si="238"/>
        <v>5907051.7881948678</v>
      </c>
      <c r="X77" s="54">
        <f t="shared" si="194"/>
        <v>44068147.082114518</v>
      </c>
      <c r="Y77" s="54">
        <f t="shared" si="195"/>
        <v>44068147.082114518</v>
      </c>
      <c r="Z77" s="55">
        <f t="shared" si="239"/>
        <v>44496085.242683157</v>
      </c>
      <c r="AA77" s="55">
        <f t="shared" si="240"/>
        <v>44496085.242683157</v>
      </c>
      <c r="AB77" s="53">
        <f>D77*mmater*Parámetros!$G64*$X$5+AB76*(1+i_noc)</f>
        <v>0</v>
      </c>
      <c r="AC77" s="53">
        <f>E77*12*Parámetros!$F64*$X$5+AC76*(1+i_noc)</f>
        <v>549465.67295279482</v>
      </c>
      <c r="AD77" s="53"/>
      <c r="AE77" s="53"/>
      <c r="AF77" s="175"/>
      <c r="AG77" s="74">
        <f t="shared" si="186"/>
        <v>0</v>
      </c>
      <c r="AH77" s="52">
        <f t="shared" si="187"/>
        <v>0</v>
      </c>
      <c r="AI77" s="56">
        <f t="shared" si="227"/>
        <v>0</v>
      </c>
      <c r="AJ77" s="56">
        <f t="shared" si="228"/>
        <v>0</v>
      </c>
      <c r="AK77" s="56"/>
      <c r="AL77" s="56"/>
      <c r="AM77" s="56"/>
      <c r="AN77" s="56"/>
      <c r="AO77" s="56">
        <f t="shared" si="229"/>
        <v>0</v>
      </c>
      <c r="AP77" s="56">
        <f t="shared" si="230"/>
        <v>0</v>
      </c>
      <c r="AQ77" s="53">
        <f t="shared" si="231"/>
        <v>0</v>
      </c>
      <c r="AR77" s="53">
        <f t="shared" si="232"/>
        <v>0</v>
      </c>
      <c r="AS77" s="39"/>
      <c r="AT77" s="68">
        <f t="shared" si="233"/>
        <v>0</v>
      </c>
      <c r="AU77" s="68">
        <f t="shared" si="234"/>
        <v>0</v>
      </c>
      <c r="AV77" s="68">
        <f t="shared" si="235"/>
        <v>0</v>
      </c>
      <c r="AW77" s="68">
        <f t="shared" si="188"/>
        <v>0</v>
      </c>
      <c r="AX77" s="39"/>
      <c r="AY77" s="39"/>
    </row>
    <row r="78" spans="1:51" x14ac:dyDescent="0.25">
      <c r="A78" s="30">
        <v>2043</v>
      </c>
      <c r="B78" s="33">
        <f>w_uf*UF*Parámetros!C65</f>
        <v>1088940.2659450693</v>
      </c>
      <c r="C78" s="30">
        <f t="shared" si="221"/>
        <v>64</v>
      </c>
      <c r="D78" s="30">
        <f>((A78=Inputs!$C$12)*(Inputs!$D$12) + (A78=Inputs!$C$13)*(Inputs!$D$13) + (A78=Inputs!$C$14)*(Inputs!$D$14)) *(A78 &gt;= a_afil)*(A78&gt;=2024)</f>
        <v>0</v>
      </c>
      <c r="E78" s="30">
        <f>MIN(1,(A78=Inputs!$C$19)*Inputs!$D$19+(A78=Inputs!$C$20)*Inputs!$D$20+(A78=Inputs!$C$21)*Inputs!$D$21*(A78 &gt;= a_afil))</f>
        <v>0</v>
      </c>
      <c r="F78" s="30">
        <f t="shared" si="180"/>
        <v>1</v>
      </c>
      <c r="G78" s="30">
        <f t="shared" si="181"/>
        <v>1</v>
      </c>
      <c r="H78" s="30">
        <v>0.51801592111587524</v>
      </c>
      <c r="I78" s="37">
        <f t="shared" si="222"/>
        <v>0.57999999999999996</v>
      </c>
      <c r="J78" s="37">
        <f t="shared" si="223"/>
        <v>0.57999999999999996</v>
      </c>
      <c r="K78" s="30">
        <f>1*OR(Inputs!$D$17=$A78,Inputs!$E$17=$A78)*($E78=0)*(F78=1)</f>
        <v>0</v>
      </c>
      <c r="L78" s="30">
        <f>1*OR(Inputs!$D$17=$A78,Inputs!$E$17=$A78)*($E78=0)*(G78=1)</f>
        <v>0</v>
      </c>
      <c r="M78" s="73">
        <f t="shared" si="245"/>
        <v>303160.97003910725</v>
      </c>
      <c r="N78" s="73">
        <f t="shared" si="246"/>
        <v>303160.97003910725</v>
      </c>
      <c r="O78" s="55">
        <f>Parámetros!$E65*12*I78*$P$14</f>
        <v>403708.76944534818</v>
      </c>
      <c r="P78" s="55">
        <f>Parámetros!$E65*12*J78*$P$14</f>
        <v>403708.76944534818</v>
      </c>
      <c r="Q78" s="70">
        <f t="shared" si="225"/>
        <v>757902.42509776819</v>
      </c>
      <c r="R78" s="70">
        <f t="shared" si="226"/>
        <v>757902.42509776819</v>
      </c>
      <c r="S78" s="68">
        <f t="shared" si="243"/>
        <v>795797.54635265667</v>
      </c>
      <c r="T78" s="68">
        <f t="shared" si="244"/>
        <v>795797.54635265667</v>
      </c>
      <c r="U78" s="177"/>
      <c r="V78" s="68">
        <f t="shared" si="237"/>
        <v>6432218.8595193801</v>
      </c>
      <c r="W78" s="68">
        <f t="shared" si="238"/>
        <v>6432218.8595193801</v>
      </c>
      <c r="X78" s="54">
        <f t="shared" si="194"/>
        <v>46315552.87858776</v>
      </c>
      <c r="Y78" s="54">
        <f t="shared" si="195"/>
        <v>46315552.87858776</v>
      </c>
      <c r="Z78" s="55">
        <f t="shared" si="239"/>
        <v>46736970.402495936</v>
      </c>
      <c r="AA78" s="55">
        <f t="shared" si="240"/>
        <v>46736970.402495936</v>
      </c>
      <c r="AB78" s="53">
        <f>D78*mmater*Parámetros!$G65*$X$5+AB77*(1+i_noc)</f>
        <v>0</v>
      </c>
      <c r="AC78" s="53">
        <f>E78*12*Parámetros!$F65*$X$5+AC77*(1+i_noc)</f>
        <v>560454.98641185078</v>
      </c>
      <c r="AD78" s="53"/>
      <c r="AE78" s="53"/>
      <c r="AF78" s="175"/>
      <c r="AG78" s="74">
        <f t="shared" si="186"/>
        <v>0</v>
      </c>
      <c r="AH78" s="52">
        <f t="shared" si="187"/>
        <v>0</v>
      </c>
      <c r="AI78" s="56">
        <f t="shared" si="227"/>
        <v>0</v>
      </c>
      <c r="AJ78" s="56">
        <f t="shared" si="228"/>
        <v>0</v>
      </c>
      <c r="AK78" s="56"/>
      <c r="AL78" s="56"/>
      <c r="AM78" s="56"/>
      <c r="AN78" s="56"/>
      <c r="AO78" s="56">
        <f t="shared" si="229"/>
        <v>0</v>
      </c>
      <c r="AP78" s="56">
        <f t="shared" si="230"/>
        <v>0</v>
      </c>
      <c r="AQ78" s="53">
        <f t="shared" si="231"/>
        <v>0</v>
      </c>
      <c r="AR78" s="53">
        <f t="shared" si="232"/>
        <v>0</v>
      </c>
      <c r="AS78" s="39"/>
      <c r="AT78" s="68">
        <f t="shared" si="233"/>
        <v>0</v>
      </c>
      <c r="AU78" s="68">
        <f t="shared" si="234"/>
        <v>0</v>
      </c>
      <c r="AV78" s="68">
        <f t="shared" si="235"/>
        <v>0</v>
      </c>
      <c r="AW78" s="68">
        <f t="shared" si="188"/>
        <v>0</v>
      </c>
      <c r="AX78" s="39"/>
      <c r="AY78" s="39"/>
    </row>
    <row r="79" spans="1:51" x14ac:dyDescent="0.25">
      <c r="A79" s="30">
        <v>2044</v>
      </c>
      <c r="B79" s="33">
        <f>w_uf*UF*Parámetros!C66</f>
        <v>1102552.0192693826</v>
      </c>
      <c r="C79" s="30">
        <f t="shared" si="221"/>
        <v>65</v>
      </c>
      <c r="D79" s="30">
        <f>((A79=Inputs!$C$12)*(Inputs!$D$12) + (A79=Inputs!$C$13)*(Inputs!$D$13) + (A79=Inputs!$C$14)*(Inputs!$D$14)) *(A79 &gt;= a_afil)*(A79&gt;=2024)</f>
        <v>0</v>
      </c>
      <c r="E79" s="30">
        <f>MIN(1,(A79=Inputs!$C$19)*Inputs!$D$19+(A79=Inputs!$C$20)*Inputs!$D$20+(A79=Inputs!$C$21)*Inputs!$D$21*(A79 &gt;= a_afil))</f>
        <v>0</v>
      </c>
      <c r="F79" s="30">
        <f t="shared" si="180"/>
        <v>0</v>
      </c>
      <c r="G79" s="30">
        <f t="shared" si="181"/>
        <v>0</v>
      </c>
      <c r="H79" s="30">
        <v>0.75702953338623047</v>
      </c>
      <c r="I79" s="37">
        <f t="shared" si="222"/>
        <v>0</v>
      </c>
      <c r="J79" s="37">
        <f t="shared" si="223"/>
        <v>0</v>
      </c>
      <c r="K79" s="30">
        <f>1*OR(Inputs!$D$17=$A79,Inputs!$E$17=$A79)*($E79=0)*(F79=1)</f>
        <v>0</v>
      </c>
      <c r="L79" s="30">
        <f>1*OR(Inputs!$D$17=$A79,Inputs!$E$17=$A79)*($E79=0)*(G79=1)</f>
        <v>0</v>
      </c>
      <c r="M79" s="73">
        <f t="shared" si="245"/>
        <v>0</v>
      </c>
      <c r="N79" s="73">
        <f t="shared" si="246"/>
        <v>0</v>
      </c>
      <c r="O79" s="55">
        <f>Parámetros!$E66*12*I79*$P$14</f>
        <v>0</v>
      </c>
      <c r="P79" s="55">
        <f>Parámetros!$E66*12*J79*$P$14</f>
        <v>0</v>
      </c>
      <c r="Q79" s="70">
        <f t="shared" si="225"/>
        <v>0</v>
      </c>
      <c r="R79" s="70">
        <f t="shared" si="226"/>
        <v>0</v>
      </c>
      <c r="S79" s="68">
        <f t="shared" si="243"/>
        <v>0</v>
      </c>
      <c r="T79" s="68">
        <f t="shared" si="244"/>
        <v>0</v>
      </c>
      <c r="U79" s="177"/>
      <c r="V79" s="68">
        <f t="shared" si="237"/>
        <v>6641116.333314213</v>
      </c>
      <c r="W79" s="68">
        <f t="shared" si="238"/>
        <v>6641116.333314213</v>
      </c>
      <c r="X79" s="54">
        <f t="shared" si="194"/>
        <v>47881018.565884031</v>
      </c>
      <c r="Y79" s="54">
        <f t="shared" si="195"/>
        <v>47881018.565884031</v>
      </c>
      <c r="Z79" s="55">
        <f t="shared" si="239"/>
        <v>48254834.651697621</v>
      </c>
      <c r="AA79" s="55">
        <f t="shared" si="240"/>
        <v>48254834.651697621</v>
      </c>
      <c r="AB79" s="53">
        <f>D79*mmater*Parámetros!$G66*$X$5+AB78*(1+i_noc)</f>
        <v>0</v>
      </c>
      <c r="AC79" s="53">
        <f>E79*12*Parámetros!$F66*$X$5+AC78*(1+i_noc)</f>
        <v>571664.08614008781</v>
      </c>
      <c r="AD79" s="53"/>
      <c r="AE79" s="53"/>
      <c r="AF79" s="175"/>
      <c r="AG79" s="74">
        <f t="shared" si="186"/>
        <v>249562.18907357016</v>
      </c>
      <c r="AH79" s="52">
        <f t="shared" si="187"/>
        <v>222428.64055623682</v>
      </c>
      <c r="AI79" s="56">
        <f t="shared" si="227"/>
        <v>286124.94281515543</v>
      </c>
      <c r="AJ79" s="56">
        <f t="shared" si="228"/>
        <v>255016.12361977014</v>
      </c>
      <c r="AK79" s="56"/>
      <c r="AL79" s="56"/>
      <c r="AM79" s="56"/>
      <c r="AN79" s="56"/>
      <c r="AO79" s="56">
        <f t="shared" si="229"/>
        <v>0</v>
      </c>
      <c r="AP79" s="56">
        <f t="shared" si="230"/>
        <v>2459.7483858811015</v>
      </c>
      <c r="AQ79" s="53">
        <f t="shared" si="231"/>
        <v>0</v>
      </c>
      <c r="AR79" s="53">
        <f t="shared" si="232"/>
        <v>0</v>
      </c>
      <c r="AS79" s="39"/>
      <c r="AT79" s="68">
        <f t="shared" si="233"/>
        <v>34614.374958494293</v>
      </c>
      <c r="AU79" s="68">
        <f t="shared" si="234"/>
        <v>30850.940979092084</v>
      </c>
      <c r="AV79" s="68">
        <f t="shared" si="235"/>
        <v>251510.56785666113</v>
      </c>
      <c r="AW79" s="68">
        <f t="shared" si="188"/>
        <v>224165.18264067807</v>
      </c>
      <c r="AX79" s="39"/>
      <c r="AY79" s="39"/>
    </row>
    <row r="80" spans="1:51" x14ac:dyDescent="0.25">
      <c r="A80" s="30">
        <v>2045</v>
      </c>
      <c r="B80" s="33">
        <f>w_uf*UF*Parámetros!C67</f>
        <v>1116333.9195102497</v>
      </c>
      <c r="C80" s="30">
        <f t="shared" ref="C80:C111" si="247">IF(AND(A80-a_nac&lt;=110,A80-a_nac&gt;0),A80-a_nac,"")</f>
        <v>66</v>
      </c>
      <c r="D80" s="30">
        <f>((A80=Inputs!$C$12)*(Inputs!$D$12) + (A80=Inputs!$C$13)*(Inputs!$D$13) + (A80=Inputs!$C$14)*(Inputs!$D$14)) *(A80 &gt;= a_afil)*(A80&gt;=2024)</f>
        <v>0</v>
      </c>
      <c r="E80" s="30">
        <f>MIN(1,(A80=Inputs!$C$19)*Inputs!$D$19+(A80=Inputs!$C$20)*Inputs!$D$20+(A80=Inputs!$C$21)*Inputs!$D$21*(A80 &gt;= a_afil))</f>
        <v>0</v>
      </c>
      <c r="F80" s="30">
        <f t="shared" ref="F80:F111" si="248" xml:space="preserve"> (C80&lt;edad_ret_h) * (A80&gt;=a_afil)</f>
        <v>0</v>
      </c>
      <c r="G80" s="30">
        <f t="shared" ref="G80:G111" si="249" xml:space="preserve"> (C80&lt;edad_ret_m) * (A80&gt;=a_afil)</f>
        <v>0</v>
      </c>
      <c r="H80" s="30">
        <v>0.80066984891891479</v>
      </c>
      <c r="I80" s="37">
        <f t="shared" si="222"/>
        <v>0</v>
      </c>
      <c r="J80" s="37">
        <f t="shared" si="223"/>
        <v>0</v>
      </c>
      <c r="K80" s="30">
        <f>1*OR(Inputs!$D$17=$A80,Inputs!$E$17=$A80)*($E80=0)*(F80=1)</f>
        <v>0</v>
      </c>
      <c r="L80" s="30">
        <f>1*OR(Inputs!$D$17=$A80,Inputs!$E$17=$A80)*($E80=0)*(G80=1)</f>
        <v>0</v>
      </c>
      <c r="M80" s="73">
        <f t="shared" si="245"/>
        <v>0</v>
      </c>
      <c r="N80" s="73">
        <f t="shared" si="246"/>
        <v>0</v>
      </c>
      <c r="O80" s="55">
        <f>Parámetros!$E67*12*I80*$P$14</f>
        <v>0</v>
      </c>
      <c r="P80" s="55">
        <f>Parámetros!$E67*12*J80*$P$14</f>
        <v>0</v>
      </c>
      <c r="Q80" s="70">
        <f t="shared" si="225"/>
        <v>0</v>
      </c>
      <c r="R80" s="70">
        <f t="shared" si="226"/>
        <v>0</v>
      </c>
      <c r="S80" s="68">
        <f t="shared" si="243"/>
        <v>0</v>
      </c>
      <c r="T80" s="68">
        <f t="shared" si="244"/>
        <v>0</v>
      </c>
      <c r="U80" s="177"/>
      <c r="V80" s="68">
        <f t="shared" si="237"/>
        <v>0</v>
      </c>
      <c r="W80" s="68">
        <f t="shared" si="238"/>
        <v>0</v>
      </c>
      <c r="X80" s="54">
        <f t="shared" si="194"/>
        <v>0</v>
      </c>
      <c r="Y80" s="54">
        <f t="shared" si="195"/>
        <v>0</v>
      </c>
      <c r="Z80" s="55">
        <f t="shared" si="239"/>
        <v>0</v>
      </c>
      <c r="AA80" s="55">
        <f t="shared" si="240"/>
        <v>0</v>
      </c>
      <c r="AB80" s="53">
        <f>D80*mmater*Parámetros!$G67*$X$5+AB79*(1+i_noc)</f>
        <v>0</v>
      </c>
      <c r="AC80" s="53">
        <f>E80*12*Parámetros!$F67*$X$5+AC79*(1+i_noc)</f>
        <v>583097.36786288954</v>
      </c>
      <c r="AD80" s="53"/>
      <c r="AE80" s="53"/>
      <c r="AF80" s="175"/>
      <c r="AG80" s="74">
        <f t="shared" ref="AG80:AG111" si="250">($A80=D$9)*X80/(12*_xlfn.XLOOKUP(AG$15,sexo_cnu,cnu))</f>
        <v>0</v>
      </c>
      <c r="AH80" s="52">
        <f t="shared" ref="AH80:AH111" si="251">($A80=E$9)*Y80/(12*_xlfn.XLOOKUP(AH$15,sexo_cnu,cnu))</f>
        <v>0</v>
      </c>
      <c r="AI80" s="56">
        <f t="shared" si="227"/>
        <v>0</v>
      </c>
      <c r="AJ80" s="56">
        <f t="shared" si="228"/>
        <v>0</v>
      </c>
      <c r="AK80" s="56"/>
      <c r="AL80" s="56"/>
      <c r="AM80" s="56"/>
      <c r="AN80" s="56"/>
      <c r="AO80" s="56">
        <f t="shared" si="229"/>
        <v>0</v>
      </c>
      <c r="AP80" s="56">
        <f t="shared" si="230"/>
        <v>0</v>
      </c>
      <c r="AQ80" s="53">
        <f t="shared" si="231"/>
        <v>0</v>
      </c>
      <c r="AR80" s="53">
        <f t="shared" si="232"/>
        <v>0</v>
      </c>
      <c r="AS80" s="39"/>
      <c r="AT80" s="68">
        <f t="shared" si="233"/>
        <v>0</v>
      </c>
      <c r="AU80" s="68">
        <f t="shared" si="234"/>
        <v>0</v>
      </c>
      <c r="AV80" s="68">
        <f t="shared" si="235"/>
        <v>0</v>
      </c>
      <c r="AW80" s="68">
        <f t="shared" ref="AW80:AW111" si="252">IF($A80=a_nac+edad_ret_m,AA80/(12*_xlfn.XLOOKUP(AW$15,sexo_cnu,cnu)),0)</f>
        <v>0</v>
      </c>
      <c r="AX80" s="39"/>
      <c r="AY80" s="39"/>
    </row>
    <row r="81" spans="1:51" x14ac:dyDescent="0.25">
      <c r="A81" s="30">
        <v>2046</v>
      </c>
      <c r="B81" s="33">
        <f>w_uf*UF*Parámetros!C68</f>
        <v>1130288.0935041278</v>
      </c>
      <c r="C81" s="30">
        <f t="shared" si="247"/>
        <v>67</v>
      </c>
      <c r="D81" s="30">
        <f>((A81=Inputs!$C$12)*(Inputs!$D$12) + (A81=Inputs!$C$13)*(Inputs!$D$13) + (A81=Inputs!$C$14)*(Inputs!$D$14)) *(A81 &gt;= a_afil)*(A81&gt;=2024)</f>
        <v>0</v>
      </c>
      <c r="E81" s="30">
        <f>MIN(1,(A81=Inputs!$C$19)*Inputs!$D$19+(A81=Inputs!$C$20)*Inputs!$D$20+(A81=Inputs!$C$21)*Inputs!$D$21*(A81 &gt;= a_afil))</f>
        <v>0</v>
      </c>
      <c r="F81" s="30">
        <f t="shared" si="248"/>
        <v>0</v>
      </c>
      <c r="G81" s="30">
        <f t="shared" si="249"/>
        <v>0</v>
      </c>
      <c r="H81" s="30">
        <v>0.32520544528961182</v>
      </c>
      <c r="I81" s="37">
        <f t="shared" si="222"/>
        <v>0</v>
      </c>
      <c r="J81" s="37">
        <f t="shared" si="223"/>
        <v>0</v>
      </c>
      <c r="K81" s="30">
        <f>1*OR(Inputs!$D$17=$A81,Inputs!$E$17=$A81)*($E81=0)*(F81=1)</f>
        <v>0</v>
      </c>
      <c r="L81" s="30">
        <f>1*OR(Inputs!$D$17=$A81,Inputs!$E$17=$A81)*($E81=0)*(G81=1)</f>
        <v>0</v>
      </c>
      <c r="M81" s="73">
        <f t="shared" si="245"/>
        <v>0</v>
      </c>
      <c r="N81" s="73">
        <f t="shared" si="246"/>
        <v>0</v>
      </c>
      <c r="O81" s="55">
        <f>Parámetros!$E68*12*I81*$P$14</f>
        <v>0</v>
      </c>
      <c r="P81" s="55">
        <f>Parámetros!$E68*12*J81*$P$14</f>
        <v>0</v>
      </c>
      <c r="Q81" s="70">
        <f t="shared" si="225"/>
        <v>0</v>
      </c>
      <c r="R81" s="70">
        <f t="shared" si="226"/>
        <v>0</v>
      </c>
      <c r="S81" s="68">
        <f t="shared" si="243"/>
        <v>0</v>
      </c>
      <c r="T81" s="68">
        <f t="shared" si="244"/>
        <v>0</v>
      </c>
      <c r="U81" s="177"/>
      <c r="V81" s="68">
        <f t="shared" si="237"/>
        <v>0</v>
      </c>
      <c r="W81" s="68">
        <f t="shared" si="238"/>
        <v>0</v>
      </c>
      <c r="X81" s="54">
        <f t="shared" ref="X81:X112" si="253">F80*X80*(1+_xlfn.XLOOKUP(MIN(2024,$A80),agnos_rent,rent_base))+Q81</f>
        <v>0</v>
      </c>
      <c r="Y81" s="54">
        <f t="shared" ref="Y81:Y112" si="254">G80*Y80*(1+_xlfn.XLOOKUP(MIN(2024,$A80),agnos_rent,rent_base))+R81</f>
        <v>0</v>
      </c>
      <c r="Z81" s="55">
        <f t="shared" si="239"/>
        <v>0</v>
      </c>
      <c r="AA81" s="55">
        <f t="shared" si="240"/>
        <v>0</v>
      </c>
      <c r="AB81" s="53">
        <f>D81*mmater*Parámetros!$G68*$X$5+AB80*(1+i_noc)</f>
        <v>0</v>
      </c>
      <c r="AC81" s="53">
        <f>E81*12*Parámetros!$F68*$X$5+AC80*(1+i_noc)</f>
        <v>594759.31522014737</v>
      </c>
      <c r="AD81" s="53"/>
      <c r="AE81" s="53"/>
      <c r="AF81" s="175"/>
      <c r="AG81" s="74">
        <f t="shared" si="250"/>
        <v>0</v>
      </c>
      <c r="AH81" s="52">
        <f t="shared" si="251"/>
        <v>0</v>
      </c>
      <c r="AI81" s="56">
        <f t="shared" si="227"/>
        <v>0</v>
      </c>
      <c r="AJ81" s="56">
        <f t="shared" si="228"/>
        <v>0</v>
      </c>
      <c r="AK81" s="56"/>
      <c r="AL81" s="56"/>
      <c r="AM81" s="56"/>
      <c r="AN81" s="56"/>
      <c r="AO81" s="56">
        <f t="shared" si="229"/>
        <v>0</v>
      </c>
      <c r="AP81" s="56">
        <f t="shared" si="230"/>
        <v>0</v>
      </c>
      <c r="AQ81" s="53">
        <f t="shared" si="231"/>
        <v>0</v>
      </c>
      <c r="AR81" s="53">
        <f t="shared" si="232"/>
        <v>0</v>
      </c>
      <c r="AS81" s="39"/>
      <c r="AT81" s="68">
        <f t="shared" si="233"/>
        <v>0</v>
      </c>
      <c r="AU81" s="68">
        <f t="shared" si="234"/>
        <v>0</v>
      </c>
      <c r="AV81" s="68">
        <f t="shared" si="235"/>
        <v>0</v>
      </c>
      <c r="AW81" s="68">
        <f t="shared" si="252"/>
        <v>0</v>
      </c>
      <c r="AX81" s="39"/>
      <c r="AY81" s="39"/>
    </row>
    <row r="82" spans="1:51" x14ac:dyDescent="0.25">
      <c r="A82" s="30">
        <v>2047</v>
      </c>
      <c r="B82" s="33">
        <f>w_uf*UF*Parámetros!C69</f>
        <v>1144416.6946729294</v>
      </c>
      <c r="C82" s="30">
        <f t="shared" si="247"/>
        <v>68</v>
      </c>
      <c r="D82" s="30">
        <f>((A82=Inputs!$C$12)*(Inputs!$D$12) + (A82=Inputs!$C$13)*(Inputs!$D$13) + (A82=Inputs!$C$14)*(Inputs!$D$14)) *(A82 &gt;= a_afil)*(A82&gt;=2024)</f>
        <v>0</v>
      </c>
      <c r="E82" s="30">
        <f>MIN(1,(A82=Inputs!$C$19)*Inputs!$D$19+(A82=Inputs!$C$20)*Inputs!$D$20+(A82=Inputs!$C$21)*Inputs!$D$21*(A82 &gt;= a_afil))</f>
        <v>0</v>
      </c>
      <c r="F82" s="30">
        <f t="shared" si="248"/>
        <v>0</v>
      </c>
      <c r="G82" s="30">
        <f t="shared" si="249"/>
        <v>0</v>
      </c>
      <c r="H82" s="30">
        <v>0.97272902727127075</v>
      </c>
      <c r="I82" s="37">
        <f t="shared" si="222"/>
        <v>0</v>
      </c>
      <c r="J82" s="37">
        <f t="shared" si="223"/>
        <v>0</v>
      </c>
      <c r="K82" s="30">
        <f>1*OR(Inputs!$D$17=$A82,Inputs!$E$17=$A82)*($E82=0)*(F82=1)</f>
        <v>0</v>
      </c>
      <c r="L82" s="30">
        <f>1*OR(Inputs!$D$17=$A82,Inputs!$E$17=$A82)*($E82=0)*(G82=1)</f>
        <v>0</v>
      </c>
      <c r="M82" s="73">
        <f t="shared" si="245"/>
        <v>0</v>
      </c>
      <c r="N82" s="73">
        <f t="shared" si="246"/>
        <v>0</v>
      </c>
      <c r="O82" s="55">
        <f>Parámetros!$E69*12*I82*$P$14</f>
        <v>0</v>
      </c>
      <c r="P82" s="55">
        <f>Parámetros!$E69*12*J82*$P$14</f>
        <v>0</v>
      </c>
      <c r="Q82" s="70">
        <f t="shared" si="225"/>
        <v>0</v>
      </c>
      <c r="R82" s="70">
        <f t="shared" si="226"/>
        <v>0</v>
      </c>
      <c r="S82" s="68">
        <f t="shared" si="243"/>
        <v>0</v>
      </c>
      <c r="T82" s="68">
        <f t="shared" si="244"/>
        <v>0</v>
      </c>
      <c r="U82" s="177"/>
      <c r="V82" s="68">
        <f t="shared" si="237"/>
        <v>0</v>
      </c>
      <c r="W82" s="68">
        <f t="shared" si="238"/>
        <v>0</v>
      </c>
      <c r="X82" s="54">
        <f t="shared" si="253"/>
        <v>0</v>
      </c>
      <c r="Y82" s="54">
        <f t="shared" si="254"/>
        <v>0</v>
      </c>
      <c r="Z82" s="55">
        <f t="shared" si="239"/>
        <v>0</v>
      </c>
      <c r="AA82" s="55">
        <f t="shared" si="240"/>
        <v>0</v>
      </c>
      <c r="AB82" s="53">
        <f>D82*mmater*Parámetros!$G69*$X$5+AB81*(1+i_noc)</f>
        <v>0</v>
      </c>
      <c r="AC82" s="53">
        <f>E82*12*Parámetros!$F69*$X$5+AC81*(1+i_noc)</f>
        <v>606654.50152455037</v>
      </c>
      <c r="AD82" s="53"/>
      <c r="AE82" s="53"/>
      <c r="AF82" s="175"/>
      <c r="AG82" s="74">
        <f t="shared" si="250"/>
        <v>0</v>
      </c>
      <c r="AH82" s="52">
        <f t="shared" si="251"/>
        <v>0</v>
      </c>
      <c r="AI82" s="56">
        <f t="shared" si="227"/>
        <v>0</v>
      </c>
      <c r="AJ82" s="56">
        <f t="shared" si="228"/>
        <v>0</v>
      </c>
      <c r="AK82" s="56"/>
      <c r="AL82" s="56"/>
      <c r="AM82" s="56"/>
      <c r="AN82" s="56"/>
      <c r="AO82" s="56">
        <f t="shared" si="229"/>
        <v>0</v>
      </c>
      <c r="AP82" s="56">
        <f t="shared" si="230"/>
        <v>0</v>
      </c>
      <c r="AQ82" s="53">
        <f t="shared" si="231"/>
        <v>0</v>
      </c>
      <c r="AR82" s="53">
        <f t="shared" si="232"/>
        <v>0</v>
      </c>
      <c r="AS82" s="39"/>
      <c r="AT82" s="68">
        <f t="shared" si="233"/>
        <v>0</v>
      </c>
      <c r="AU82" s="68">
        <f t="shared" si="234"/>
        <v>0</v>
      </c>
      <c r="AV82" s="68">
        <f t="shared" si="235"/>
        <v>0</v>
      </c>
      <c r="AW82" s="68">
        <f t="shared" si="252"/>
        <v>0</v>
      </c>
      <c r="AX82" s="39"/>
      <c r="AY82" s="39"/>
    </row>
    <row r="83" spans="1:51" x14ac:dyDescent="0.25">
      <c r="A83" s="30">
        <v>2048</v>
      </c>
      <c r="B83" s="33">
        <f>w_uf*UF*Parámetros!C70</f>
        <v>1158721.9033563409</v>
      </c>
      <c r="C83" s="30">
        <f t="shared" si="247"/>
        <v>69</v>
      </c>
      <c r="D83" s="30">
        <f>((A83=Inputs!$C$12)*(Inputs!$D$12) + (A83=Inputs!$C$13)*(Inputs!$D$13) + (A83=Inputs!$C$14)*(Inputs!$D$14)) *(A83 &gt;= a_afil)*(A83&gt;=2024)</f>
        <v>0</v>
      </c>
      <c r="E83" s="30">
        <f>MIN(1,(A83=Inputs!$C$19)*Inputs!$D$19+(A83=Inputs!$C$20)*Inputs!$D$20+(A83=Inputs!$C$21)*Inputs!$D$21*(A83 &gt;= a_afil))</f>
        <v>0</v>
      </c>
      <c r="F83" s="30">
        <f t="shared" si="248"/>
        <v>0</v>
      </c>
      <c r="G83" s="30">
        <f t="shared" si="249"/>
        <v>0</v>
      </c>
      <c r="H83" s="30">
        <v>0.80426716804504395</v>
      </c>
      <c r="I83" s="37">
        <f t="shared" si="222"/>
        <v>0</v>
      </c>
      <c r="J83" s="37">
        <f t="shared" si="223"/>
        <v>0</v>
      </c>
      <c r="K83" s="30">
        <f>1*OR(Inputs!$D$17=$A83,Inputs!$E$17=$A83)*($E83=0)*(F83=1)</f>
        <v>0</v>
      </c>
      <c r="L83" s="30">
        <f>1*OR(Inputs!$D$17=$A83,Inputs!$E$17=$A83)*($E83=0)*(G83=1)</f>
        <v>0</v>
      </c>
      <c r="M83" s="73">
        <f t="shared" si="245"/>
        <v>0</v>
      </c>
      <c r="N83" s="73">
        <f t="shared" si="246"/>
        <v>0</v>
      </c>
      <c r="O83" s="55">
        <f>Parámetros!$E70*12*I83*$P$14</f>
        <v>0</v>
      </c>
      <c r="P83" s="55">
        <f>Parámetros!$E70*12*J83*$P$14</f>
        <v>0</v>
      </c>
      <c r="Q83" s="70">
        <f t="shared" si="225"/>
        <v>0</v>
      </c>
      <c r="R83" s="70">
        <f t="shared" si="226"/>
        <v>0</v>
      </c>
      <c r="S83" s="68">
        <f t="shared" si="243"/>
        <v>0</v>
      </c>
      <c r="T83" s="68">
        <f t="shared" si="244"/>
        <v>0</v>
      </c>
      <c r="U83" s="177"/>
      <c r="V83" s="68">
        <f t="shared" si="237"/>
        <v>0</v>
      </c>
      <c r="W83" s="68">
        <f t="shared" si="238"/>
        <v>0</v>
      </c>
      <c r="X83" s="54">
        <f t="shared" si="253"/>
        <v>0</v>
      </c>
      <c r="Y83" s="54">
        <f t="shared" si="254"/>
        <v>0</v>
      </c>
      <c r="Z83" s="55">
        <f t="shared" si="239"/>
        <v>0</v>
      </c>
      <c r="AA83" s="55">
        <f t="shared" si="240"/>
        <v>0</v>
      </c>
      <c r="AB83" s="53">
        <f>D83*mmater*Parámetros!$G70*$X$5+AB82*(1+i_noc)</f>
        <v>0</v>
      </c>
      <c r="AC83" s="53">
        <f>E83*12*Parámetros!$F70*$X$5+AC82*(1+i_noc)</f>
        <v>618787.59155504138</v>
      </c>
      <c r="AD83" s="53"/>
      <c r="AE83" s="53"/>
      <c r="AF83" s="175"/>
      <c r="AG83" s="74">
        <f t="shared" si="250"/>
        <v>0</v>
      </c>
      <c r="AH83" s="52">
        <f t="shared" si="251"/>
        <v>0</v>
      </c>
      <c r="AI83" s="56">
        <f t="shared" si="227"/>
        <v>0</v>
      </c>
      <c r="AJ83" s="56">
        <f t="shared" si="228"/>
        <v>0</v>
      </c>
      <c r="AK83" s="56"/>
      <c r="AL83" s="56"/>
      <c r="AM83" s="56"/>
      <c r="AN83" s="56"/>
      <c r="AO83" s="56">
        <f t="shared" si="229"/>
        <v>0</v>
      </c>
      <c r="AP83" s="56">
        <f t="shared" si="230"/>
        <v>0</v>
      </c>
      <c r="AQ83" s="53">
        <f t="shared" si="231"/>
        <v>0</v>
      </c>
      <c r="AR83" s="53">
        <f t="shared" si="232"/>
        <v>0</v>
      </c>
      <c r="AS83" s="39"/>
      <c r="AT83" s="68">
        <f t="shared" si="233"/>
        <v>0</v>
      </c>
      <c r="AU83" s="68">
        <f t="shared" si="234"/>
        <v>0</v>
      </c>
      <c r="AV83" s="68">
        <f t="shared" si="235"/>
        <v>0</v>
      </c>
      <c r="AW83" s="68">
        <f t="shared" si="252"/>
        <v>0</v>
      </c>
      <c r="AX83" s="39"/>
      <c r="AY83" s="39"/>
    </row>
    <row r="84" spans="1:51" x14ac:dyDescent="0.25">
      <c r="A84" s="30">
        <v>2049</v>
      </c>
      <c r="B84" s="33">
        <f>w_uf*UF*Parámetros!C71</f>
        <v>1173205.9271482951</v>
      </c>
      <c r="C84" s="30">
        <f t="shared" si="247"/>
        <v>70</v>
      </c>
      <c r="D84" s="30">
        <f>((A84=Inputs!$C$12)*(Inputs!$D$12) + (A84=Inputs!$C$13)*(Inputs!$D$13) + (A84=Inputs!$C$14)*(Inputs!$D$14)) *(A84 &gt;= a_afil)*(A84&gt;=2024)</f>
        <v>0</v>
      </c>
      <c r="E84" s="30">
        <f>MIN(1,(A84=Inputs!$C$19)*Inputs!$D$19+(A84=Inputs!$C$20)*Inputs!$D$20+(A84=Inputs!$C$21)*Inputs!$D$21*(A84 &gt;= a_afil))</f>
        <v>0</v>
      </c>
      <c r="F84" s="30">
        <f t="shared" si="248"/>
        <v>0</v>
      </c>
      <c r="G84" s="30">
        <f t="shared" si="249"/>
        <v>0</v>
      </c>
      <c r="H84" s="30">
        <v>0.67482608556747437</v>
      </c>
      <c r="I84" s="37">
        <f t="shared" si="222"/>
        <v>0</v>
      </c>
      <c r="J84" s="37">
        <f t="shared" si="223"/>
        <v>0</v>
      </c>
      <c r="K84" s="30">
        <f>1*OR(Inputs!$D$17=$A84,Inputs!$E$17=$A84)*($E84=0)*(F84=1)</f>
        <v>0</v>
      </c>
      <c r="L84" s="30">
        <f>1*OR(Inputs!$D$17=$A84,Inputs!$E$17=$A84)*($E84=0)*(G84=1)</f>
        <v>0</v>
      </c>
      <c r="M84" s="73">
        <f t="shared" si="245"/>
        <v>0</v>
      </c>
      <c r="N84" s="73">
        <f t="shared" si="246"/>
        <v>0</v>
      </c>
      <c r="O84" s="55">
        <f>Parámetros!$E71*12*I84*$P$14</f>
        <v>0</v>
      </c>
      <c r="P84" s="55">
        <f>Parámetros!$E71*12*J84*$P$14</f>
        <v>0</v>
      </c>
      <c r="Q84" s="70">
        <f t="shared" si="225"/>
        <v>0</v>
      </c>
      <c r="R84" s="70">
        <f t="shared" si="226"/>
        <v>0</v>
      </c>
      <c r="S84" s="68">
        <f t="shared" si="243"/>
        <v>0</v>
      </c>
      <c r="T84" s="68">
        <f t="shared" si="244"/>
        <v>0</v>
      </c>
      <c r="U84" s="177"/>
      <c r="V84" s="68">
        <f t="shared" si="237"/>
        <v>0</v>
      </c>
      <c r="W84" s="68">
        <f t="shared" si="238"/>
        <v>0</v>
      </c>
      <c r="X84" s="54">
        <f t="shared" si="253"/>
        <v>0</v>
      </c>
      <c r="Y84" s="54">
        <f t="shared" si="254"/>
        <v>0</v>
      </c>
      <c r="Z84" s="55">
        <f t="shared" si="239"/>
        <v>0</v>
      </c>
      <c r="AA84" s="55">
        <f t="shared" si="240"/>
        <v>0</v>
      </c>
      <c r="AB84" s="53">
        <f>D84*mmater*Parámetros!$G71*$X$5+AB83*(1+i_noc)</f>
        <v>0</v>
      </c>
      <c r="AC84" s="53">
        <f>E84*12*Parámetros!$F71*$X$5+AC83*(1+i_noc)</f>
        <v>631163.34338614217</v>
      </c>
      <c r="AD84" s="53"/>
      <c r="AE84" s="53"/>
      <c r="AF84" s="175"/>
      <c r="AG84" s="74">
        <f t="shared" si="250"/>
        <v>0</v>
      </c>
      <c r="AH84" s="52">
        <f t="shared" si="251"/>
        <v>0</v>
      </c>
      <c r="AI84" s="56">
        <f t="shared" si="227"/>
        <v>0</v>
      </c>
      <c r="AJ84" s="56">
        <f t="shared" si="228"/>
        <v>0</v>
      </c>
      <c r="AK84" s="56"/>
      <c r="AL84" s="56"/>
      <c r="AM84" s="56"/>
      <c r="AN84" s="56"/>
      <c r="AO84" s="56">
        <f t="shared" si="229"/>
        <v>0</v>
      </c>
      <c r="AP84" s="56">
        <f t="shared" si="230"/>
        <v>0</v>
      </c>
      <c r="AQ84" s="53">
        <f t="shared" si="231"/>
        <v>0</v>
      </c>
      <c r="AR84" s="53">
        <f t="shared" si="232"/>
        <v>0</v>
      </c>
      <c r="AS84" s="39"/>
      <c r="AT84" s="68">
        <f t="shared" si="233"/>
        <v>0</v>
      </c>
      <c r="AU84" s="68">
        <f t="shared" si="234"/>
        <v>0</v>
      </c>
      <c r="AV84" s="68">
        <f t="shared" si="235"/>
        <v>0</v>
      </c>
      <c r="AW84" s="68">
        <f t="shared" si="252"/>
        <v>0</v>
      </c>
      <c r="AX84" s="39"/>
      <c r="AY84" s="39"/>
    </row>
    <row r="85" spans="1:51" x14ac:dyDescent="0.25">
      <c r="A85" s="30">
        <v>2050</v>
      </c>
      <c r="B85" s="33">
        <f>w_uf*UF*Parámetros!C72</f>
        <v>1187871.0012376488</v>
      </c>
      <c r="C85" s="30">
        <f t="shared" si="247"/>
        <v>71</v>
      </c>
      <c r="D85" s="30">
        <f>((A85=Inputs!$C$12)*(Inputs!$D$12) + (A85=Inputs!$C$13)*(Inputs!$D$13) + (A85=Inputs!$C$14)*(Inputs!$D$14)) *(A85 &gt;= a_afil)*(A85&gt;=2024)</f>
        <v>0</v>
      </c>
      <c r="E85" s="30">
        <f>MIN(1,(A85=Inputs!$C$19)*Inputs!$D$19+(A85=Inputs!$C$20)*Inputs!$D$20+(A85=Inputs!$C$21)*Inputs!$D$21*(A85 &gt;= a_afil))</f>
        <v>0</v>
      </c>
      <c r="F85" s="30">
        <f t="shared" si="248"/>
        <v>0</v>
      </c>
      <c r="G85" s="30">
        <f t="shared" si="249"/>
        <v>0</v>
      </c>
      <c r="H85" s="30">
        <v>0.90512931346893311</v>
      </c>
      <c r="I85" s="37">
        <f t="shared" si="222"/>
        <v>0</v>
      </c>
      <c r="J85" s="37">
        <f t="shared" si="223"/>
        <v>0</v>
      </c>
      <c r="K85" s="30">
        <f>1*OR(Inputs!$D$17=$A85,Inputs!$E$17=$A85)*($E85=0)*(F85=1)</f>
        <v>0</v>
      </c>
      <c r="L85" s="30">
        <f>1*OR(Inputs!$D$17=$A85,Inputs!$E$17=$A85)*($E85=0)*(G85=1)</f>
        <v>0</v>
      </c>
      <c r="M85" s="73">
        <f t="shared" si="245"/>
        <v>0</v>
      </c>
      <c r="N85" s="73">
        <f t="shared" si="246"/>
        <v>0</v>
      </c>
      <c r="O85" s="55">
        <f>Parámetros!$E72*12*I85*$P$14</f>
        <v>0</v>
      </c>
      <c r="P85" s="55">
        <f>Parámetros!$E72*12*J85*$P$14</f>
        <v>0</v>
      </c>
      <c r="Q85" s="70">
        <f t="shared" si="225"/>
        <v>0</v>
      </c>
      <c r="R85" s="70">
        <f t="shared" si="226"/>
        <v>0</v>
      </c>
      <c r="S85" s="68">
        <f t="shared" si="243"/>
        <v>0</v>
      </c>
      <c r="T85" s="68">
        <f t="shared" si="244"/>
        <v>0</v>
      </c>
      <c r="U85" s="177"/>
      <c r="V85" s="68">
        <f t="shared" si="237"/>
        <v>0</v>
      </c>
      <c r="W85" s="68">
        <f t="shared" si="238"/>
        <v>0</v>
      </c>
      <c r="X85" s="54">
        <f t="shared" si="253"/>
        <v>0</v>
      </c>
      <c r="Y85" s="54">
        <f t="shared" si="254"/>
        <v>0</v>
      </c>
      <c r="Z85" s="55">
        <f t="shared" si="239"/>
        <v>0</v>
      </c>
      <c r="AA85" s="55">
        <f t="shared" si="240"/>
        <v>0</v>
      </c>
      <c r="AB85" s="53">
        <f>D85*mmater*Parámetros!$G72*$X$5+AB84*(1+i_noc)</f>
        <v>0</v>
      </c>
      <c r="AC85" s="53">
        <f>E85*12*Parámetros!$F72*$X$5+AC84*(1+i_noc)</f>
        <v>643786.61025386502</v>
      </c>
      <c r="AD85" s="53"/>
      <c r="AE85" s="53"/>
      <c r="AF85" s="175"/>
      <c r="AG85" s="74">
        <f t="shared" si="250"/>
        <v>0</v>
      </c>
      <c r="AH85" s="52">
        <f t="shared" si="251"/>
        <v>0</v>
      </c>
      <c r="AI85" s="56">
        <f t="shared" si="227"/>
        <v>0</v>
      </c>
      <c r="AJ85" s="56">
        <f t="shared" si="228"/>
        <v>0</v>
      </c>
      <c r="AK85" s="56"/>
      <c r="AL85" s="56"/>
      <c r="AM85" s="56"/>
      <c r="AN85" s="56"/>
      <c r="AO85" s="56">
        <f t="shared" si="229"/>
        <v>0</v>
      </c>
      <c r="AP85" s="56">
        <f t="shared" si="230"/>
        <v>0</v>
      </c>
      <c r="AQ85" s="53">
        <f t="shared" si="231"/>
        <v>0</v>
      </c>
      <c r="AR85" s="53">
        <f t="shared" si="232"/>
        <v>0</v>
      </c>
      <c r="AS85" s="39"/>
      <c r="AT85" s="68">
        <f t="shared" si="233"/>
        <v>0</v>
      </c>
      <c r="AU85" s="68">
        <f t="shared" si="234"/>
        <v>0</v>
      </c>
      <c r="AV85" s="68">
        <f t="shared" si="235"/>
        <v>0</v>
      </c>
      <c r="AW85" s="68">
        <f t="shared" si="252"/>
        <v>0</v>
      </c>
      <c r="AX85" s="39"/>
      <c r="AY85" s="39"/>
    </row>
    <row r="86" spans="1:51" x14ac:dyDescent="0.25">
      <c r="A86" s="30">
        <v>2051</v>
      </c>
      <c r="B86" s="33">
        <f>w_uf*UF*Parámetros!C73</f>
        <v>1202719.3887531192</v>
      </c>
      <c r="C86" s="30">
        <f t="shared" si="247"/>
        <v>72</v>
      </c>
      <c r="D86" s="30">
        <f>((A86=Inputs!$C$12)*(Inputs!$D$12) + (A86=Inputs!$C$13)*(Inputs!$D$13) + (A86=Inputs!$C$14)*(Inputs!$D$14)) *(A86 &gt;= a_afil)*(A86&gt;=2024)</f>
        <v>0</v>
      </c>
      <c r="E86" s="30">
        <f>MIN(1,(A86=Inputs!$C$19)*Inputs!$D$19+(A86=Inputs!$C$20)*Inputs!$D$20+(A86=Inputs!$C$21)*Inputs!$D$21*(A86 &gt;= a_afil))</f>
        <v>0</v>
      </c>
      <c r="F86" s="30">
        <f t="shared" si="248"/>
        <v>0</v>
      </c>
      <c r="G86" s="30">
        <f t="shared" si="249"/>
        <v>0</v>
      </c>
      <c r="H86" s="30">
        <v>0.87577968835830688</v>
      </c>
      <c r="I86" s="37">
        <f t="shared" si="222"/>
        <v>0</v>
      </c>
      <c r="J86" s="37">
        <f t="shared" si="223"/>
        <v>0</v>
      </c>
      <c r="K86" s="30">
        <f>1*OR(Inputs!$D$17=$A86,Inputs!$E$17=$A86)*($E86=0)*(F86=1)</f>
        <v>0</v>
      </c>
      <c r="L86" s="30">
        <f>1*OR(Inputs!$D$17=$A86,Inputs!$E$17=$A86)*($E86=0)*(G86=1)</f>
        <v>0</v>
      </c>
      <c r="M86" s="73">
        <f t="shared" si="245"/>
        <v>0</v>
      </c>
      <c r="N86" s="73">
        <f t="shared" si="246"/>
        <v>0</v>
      </c>
      <c r="O86" s="55">
        <f>Parámetros!$E73*12*I86*$P$14</f>
        <v>0</v>
      </c>
      <c r="P86" s="55">
        <f>Parámetros!$E73*12*J86*$P$14</f>
        <v>0</v>
      </c>
      <c r="Q86" s="70">
        <f t="shared" si="225"/>
        <v>0</v>
      </c>
      <c r="R86" s="70">
        <f t="shared" si="226"/>
        <v>0</v>
      </c>
      <c r="S86" s="68">
        <f t="shared" si="243"/>
        <v>0</v>
      </c>
      <c r="T86" s="68">
        <f t="shared" si="244"/>
        <v>0</v>
      </c>
      <c r="U86" s="177"/>
      <c r="V86" s="68">
        <f t="shared" si="237"/>
        <v>0</v>
      </c>
      <c r="W86" s="68">
        <f t="shared" si="238"/>
        <v>0</v>
      </c>
      <c r="X86" s="54">
        <f t="shared" si="253"/>
        <v>0</v>
      </c>
      <c r="Y86" s="54">
        <f t="shared" si="254"/>
        <v>0</v>
      </c>
      <c r="Z86" s="55">
        <f t="shared" si="239"/>
        <v>0</v>
      </c>
      <c r="AA86" s="55">
        <f t="shared" si="240"/>
        <v>0</v>
      </c>
      <c r="AB86" s="53">
        <f>D86*mmater*Parámetros!$G73*$X$5+AB85*(1+i_noc)</f>
        <v>0</v>
      </c>
      <c r="AC86" s="53">
        <f>E86*12*Parámetros!$F73*$X$5+AC85*(1+i_noc)</f>
        <v>656662.34245894232</v>
      </c>
      <c r="AD86" s="53"/>
      <c r="AE86" s="53"/>
      <c r="AF86" s="175"/>
      <c r="AG86" s="74">
        <f t="shared" si="250"/>
        <v>0</v>
      </c>
      <c r="AH86" s="52">
        <f t="shared" si="251"/>
        <v>0</v>
      </c>
      <c r="AI86" s="56">
        <f t="shared" si="227"/>
        <v>0</v>
      </c>
      <c r="AJ86" s="56">
        <f t="shared" si="228"/>
        <v>0</v>
      </c>
      <c r="AK86" s="56"/>
      <c r="AL86" s="56"/>
      <c r="AM86" s="56"/>
      <c r="AN86" s="56"/>
      <c r="AO86" s="56">
        <f t="shared" si="229"/>
        <v>0</v>
      </c>
      <c r="AP86" s="56">
        <f t="shared" si="230"/>
        <v>0</v>
      </c>
      <c r="AQ86" s="53">
        <f t="shared" si="231"/>
        <v>0</v>
      </c>
      <c r="AR86" s="53">
        <f t="shared" si="232"/>
        <v>0</v>
      </c>
      <c r="AS86" s="39"/>
      <c r="AT86" s="68">
        <f t="shared" si="233"/>
        <v>0</v>
      </c>
      <c r="AU86" s="68">
        <f t="shared" si="234"/>
        <v>0</v>
      </c>
      <c r="AV86" s="68">
        <f t="shared" si="235"/>
        <v>0</v>
      </c>
      <c r="AW86" s="68">
        <f t="shared" si="252"/>
        <v>0</v>
      </c>
      <c r="AX86" s="39"/>
      <c r="AY86" s="39"/>
    </row>
    <row r="87" spans="1:51" x14ac:dyDescent="0.25">
      <c r="A87" s="30">
        <v>2052</v>
      </c>
      <c r="B87" s="33">
        <f>w_uf*UF*Parámetros!C74</f>
        <v>1217753.3811125332</v>
      </c>
      <c r="C87" s="30">
        <f t="shared" si="247"/>
        <v>73</v>
      </c>
      <c r="D87" s="30">
        <f>((A87=Inputs!$C$12)*(Inputs!$D$12) + (A87=Inputs!$C$13)*(Inputs!$D$13) + (A87=Inputs!$C$14)*(Inputs!$D$14)) *(A87 &gt;= a_afil)*(A87&gt;=2024)</f>
        <v>0</v>
      </c>
      <c r="E87" s="30">
        <f>MIN(1,(A87=Inputs!$C$19)*Inputs!$D$19+(A87=Inputs!$C$20)*Inputs!$D$20+(A87=Inputs!$C$21)*Inputs!$D$21*(A87 &gt;= a_afil))</f>
        <v>0</v>
      </c>
      <c r="F87" s="30">
        <f t="shared" si="248"/>
        <v>0</v>
      </c>
      <c r="G87" s="30">
        <f t="shared" si="249"/>
        <v>0</v>
      </c>
      <c r="H87" s="30">
        <v>0.41664838790893555</v>
      </c>
      <c r="I87" s="37">
        <f t="shared" si="222"/>
        <v>0</v>
      </c>
      <c r="J87" s="37">
        <f t="shared" si="223"/>
        <v>0</v>
      </c>
      <c r="K87" s="30">
        <f>1*OR(Inputs!$D$17=$A87,Inputs!$E$17=$A87)*($E87=0)*(F87=1)</f>
        <v>0</v>
      </c>
      <c r="L87" s="30">
        <f>1*OR(Inputs!$D$17=$A87,Inputs!$E$17=$A87)*($E87=0)*(G87=1)</f>
        <v>0</v>
      </c>
      <c r="M87" s="73">
        <f t="shared" si="245"/>
        <v>0</v>
      </c>
      <c r="N87" s="73">
        <f t="shared" si="246"/>
        <v>0</v>
      </c>
      <c r="O87" s="55">
        <f>Parámetros!$E74*12*I87*$P$14</f>
        <v>0</v>
      </c>
      <c r="P87" s="55">
        <f>Parámetros!$E74*12*J87*$P$14</f>
        <v>0</v>
      </c>
      <c r="Q87" s="70">
        <f t="shared" si="225"/>
        <v>0</v>
      </c>
      <c r="R87" s="70">
        <f t="shared" si="226"/>
        <v>0</v>
      </c>
      <c r="S87" s="68">
        <f t="shared" si="243"/>
        <v>0</v>
      </c>
      <c r="T87" s="68">
        <f t="shared" si="244"/>
        <v>0</v>
      </c>
      <c r="U87" s="177"/>
      <c r="V87" s="68">
        <f t="shared" si="237"/>
        <v>0</v>
      </c>
      <c r="W87" s="68">
        <f t="shared" si="238"/>
        <v>0</v>
      </c>
      <c r="X87" s="54">
        <f t="shared" si="253"/>
        <v>0</v>
      </c>
      <c r="Y87" s="54">
        <f t="shared" si="254"/>
        <v>0</v>
      </c>
      <c r="Z87" s="55">
        <f t="shared" si="239"/>
        <v>0</v>
      </c>
      <c r="AA87" s="55">
        <f t="shared" si="240"/>
        <v>0</v>
      </c>
      <c r="AB87" s="53">
        <f>D87*mmater*Parámetros!$G74*$X$5+AB86*(1+i_noc)</f>
        <v>0</v>
      </c>
      <c r="AC87" s="53">
        <f>E87*12*Parámetros!$F74*$X$5+AC86*(1+i_noc)</f>
        <v>669795.58930812113</v>
      </c>
      <c r="AD87" s="53"/>
      <c r="AE87" s="53"/>
      <c r="AF87" s="175"/>
      <c r="AG87" s="74">
        <f t="shared" si="250"/>
        <v>0</v>
      </c>
      <c r="AH87" s="52">
        <f t="shared" si="251"/>
        <v>0</v>
      </c>
      <c r="AI87" s="56">
        <f t="shared" si="227"/>
        <v>0</v>
      </c>
      <c r="AJ87" s="56">
        <f t="shared" si="228"/>
        <v>0</v>
      </c>
      <c r="AK87" s="56"/>
      <c r="AL87" s="56"/>
      <c r="AM87" s="56"/>
      <c r="AN87" s="56"/>
      <c r="AO87" s="56">
        <f t="shared" si="229"/>
        <v>0</v>
      </c>
      <c r="AP87" s="56">
        <f t="shared" si="230"/>
        <v>0</v>
      </c>
      <c r="AQ87" s="53">
        <f t="shared" si="231"/>
        <v>0</v>
      </c>
      <c r="AR87" s="53">
        <f t="shared" si="232"/>
        <v>0</v>
      </c>
      <c r="AS87" s="39"/>
      <c r="AT87" s="68">
        <f t="shared" si="233"/>
        <v>0</v>
      </c>
      <c r="AU87" s="68">
        <f t="shared" si="234"/>
        <v>0</v>
      </c>
      <c r="AV87" s="68">
        <f t="shared" si="235"/>
        <v>0</v>
      </c>
      <c r="AW87" s="68">
        <f t="shared" si="252"/>
        <v>0</v>
      </c>
      <c r="AX87" s="39"/>
      <c r="AY87" s="39"/>
    </row>
    <row r="88" spans="1:51" x14ac:dyDescent="0.25">
      <c r="A88" s="30">
        <v>2053</v>
      </c>
      <c r="B88" s="33">
        <f>w_uf*UF*Parámetros!C75</f>
        <v>1232975.2983764398</v>
      </c>
      <c r="C88" s="30">
        <f t="shared" si="247"/>
        <v>74</v>
      </c>
      <c r="D88" s="30">
        <f>((A88=Inputs!$C$12)*(Inputs!$D$12) + (A88=Inputs!$C$13)*(Inputs!$D$13) + (A88=Inputs!$C$14)*(Inputs!$D$14)) *(A88 &gt;= a_afil)*(A88&gt;=2024)</f>
        <v>0</v>
      </c>
      <c r="E88" s="30">
        <f>MIN(1,(A88=Inputs!$C$19)*Inputs!$D$19+(A88=Inputs!$C$20)*Inputs!$D$20+(A88=Inputs!$C$21)*Inputs!$D$21*(A88 &gt;= a_afil))</f>
        <v>0</v>
      </c>
      <c r="F88" s="30">
        <f t="shared" si="248"/>
        <v>0</v>
      </c>
      <c r="G88" s="30">
        <f t="shared" si="249"/>
        <v>0</v>
      </c>
      <c r="H88" s="30">
        <v>0.12308281660079956</v>
      </c>
      <c r="I88" s="37">
        <f t="shared" si="222"/>
        <v>0</v>
      </c>
      <c r="J88" s="37">
        <f t="shared" si="223"/>
        <v>0</v>
      </c>
      <c r="K88" s="30">
        <f>1*OR(Inputs!$D$17=$A88,Inputs!$E$17=$A88)*($E88=0)*(F88=1)</f>
        <v>0</v>
      </c>
      <c r="L88" s="30">
        <f>1*OR(Inputs!$D$17=$A88,Inputs!$E$17=$A88)*($E88=0)*(G88=1)</f>
        <v>0</v>
      </c>
      <c r="M88" s="73">
        <f t="shared" si="245"/>
        <v>0</v>
      </c>
      <c r="N88" s="73">
        <f t="shared" si="246"/>
        <v>0</v>
      </c>
      <c r="O88" s="55">
        <f>Parámetros!$E75*12*I88*$P$14</f>
        <v>0</v>
      </c>
      <c r="P88" s="55">
        <f>Parámetros!$E75*12*J88*$P$14</f>
        <v>0</v>
      </c>
      <c r="Q88" s="70">
        <f t="shared" si="225"/>
        <v>0</v>
      </c>
      <c r="R88" s="70">
        <f t="shared" si="226"/>
        <v>0</v>
      </c>
      <c r="S88" s="68">
        <f t="shared" si="243"/>
        <v>0</v>
      </c>
      <c r="T88" s="68">
        <f t="shared" si="244"/>
        <v>0</v>
      </c>
      <c r="U88" s="177"/>
      <c r="V88" s="68">
        <f t="shared" si="237"/>
        <v>0</v>
      </c>
      <c r="W88" s="68">
        <f t="shared" si="238"/>
        <v>0</v>
      </c>
      <c r="X88" s="54">
        <f t="shared" si="253"/>
        <v>0</v>
      </c>
      <c r="Y88" s="54">
        <f t="shared" si="254"/>
        <v>0</v>
      </c>
      <c r="Z88" s="55">
        <f t="shared" si="239"/>
        <v>0</v>
      </c>
      <c r="AA88" s="55">
        <f t="shared" si="240"/>
        <v>0</v>
      </c>
      <c r="AB88" s="53">
        <f>D88*mmater*Parámetros!$G75*$X$5+AB87*(1+i_noc)</f>
        <v>0</v>
      </c>
      <c r="AC88" s="53">
        <f>E88*12*Parámetros!$F75*$X$5+AC87*(1+i_noc)</f>
        <v>683191.50109428354</v>
      </c>
      <c r="AD88" s="53"/>
      <c r="AE88" s="53"/>
      <c r="AF88" s="175"/>
      <c r="AG88" s="74">
        <f t="shared" si="250"/>
        <v>0</v>
      </c>
      <c r="AH88" s="52">
        <f t="shared" si="251"/>
        <v>0</v>
      </c>
      <c r="AI88" s="56">
        <f t="shared" si="227"/>
        <v>0</v>
      </c>
      <c r="AJ88" s="56">
        <f t="shared" si="228"/>
        <v>0</v>
      </c>
      <c r="AK88" s="56"/>
      <c r="AL88" s="56"/>
      <c r="AM88" s="56"/>
      <c r="AN88" s="56"/>
      <c r="AO88" s="56">
        <f t="shared" si="229"/>
        <v>0</v>
      </c>
      <c r="AP88" s="56">
        <f t="shared" si="230"/>
        <v>0</v>
      </c>
      <c r="AQ88" s="53">
        <f t="shared" si="231"/>
        <v>0</v>
      </c>
      <c r="AR88" s="53">
        <f t="shared" si="232"/>
        <v>0</v>
      </c>
      <c r="AS88" s="39"/>
      <c r="AT88" s="68">
        <f t="shared" si="233"/>
        <v>0</v>
      </c>
      <c r="AU88" s="68">
        <f t="shared" si="234"/>
        <v>0</v>
      </c>
      <c r="AV88" s="68">
        <f t="shared" si="235"/>
        <v>0</v>
      </c>
      <c r="AW88" s="68">
        <f t="shared" si="252"/>
        <v>0</v>
      </c>
      <c r="AX88" s="39"/>
      <c r="AY88" s="39"/>
    </row>
    <row r="89" spans="1:51" x14ac:dyDescent="0.25">
      <c r="A89" s="30">
        <v>2054</v>
      </c>
      <c r="B89" s="33">
        <f>w_uf*UF*Parámetros!C76</f>
        <v>1248387.4896061453</v>
      </c>
      <c r="C89" s="30">
        <f t="shared" si="247"/>
        <v>75</v>
      </c>
      <c r="D89" s="30">
        <f>((A89=Inputs!$C$12)*(Inputs!$D$12) + (A89=Inputs!$C$13)*(Inputs!$D$13) + (A89=Inputs!$C$14)*(Inputs!$D$14)) *(A89 &gt;= a_afil)*(A89&gt;=2024)</f>
        <v>0</v>
      </c>
      <c r="E89" s="30">
        <f>MIN(1,(A89=Inputs!$C$19)*Inputs!$D$19+(A89=Inputs!$C$20)*Inputs!$D$20+(A89=Inputs!$C$21)*Inputs!$D$21*(A89 &gt;= a_afil))</f>
        <v>0</v>
      </c>
      <c r="F89" s="30">
        <f t="shared" si="248"/>
        <v>0</v>
      </c>
      <c r="G89" s="30">
        <f t="shared" si="249"/>
        <v>0</v>
      </c>
      <c r="H89" s="30">
        <v>0.95415794849395752</v>
      </c>
      <c r="I89" s="37">
        <f t="shared" si="222"/>
        <v>0</v>
      </c>
      <c r="J89" s="37">
        <f t="shared" si="223"/>
        <v>0</v>
      </c>
      <c r="K89" s="30">
        <f>1*OR(Inputs!$D$17=$A89,Inputs!$E$17=$A89)*($E89=0)*(F89=1)</f>
        <v>0</v>
      </c>
      <c r="L89" s="30">
        <f>1*OR(Inputs!$D$17=$A89,Inputs!$E$17=$A89)*($E89=0)*(G89=1)</f>
        <v>0</v>
      </c>
      <c r="M89" s="73">
        <f t="shared" si="245"/>
        <v>0</v>
      </c>
      <c r="N89" s="73">
        <f t="shared" si="246"/>
        <v>0</v>
      </c>
      <c r="O89" s="55">
        <f>Parámetros!$E76*12*I89*$P$14</f>
        <v>0</v>
      </c>
      <c r="P89" s="55">
        <f>Parámetros!$E76*12*J89*$P$14</f>
        <v>0</v>
      </c>
      <c r="Q89" s="70">
        <f t="shared" si="225"/>
        <v>0</v>
      </c>
      <c r="R89" s="70">
        <f t="shared" si="226"/>
        <v>0</v>
      </c>
      <c r="S89" s="68">
        <f t="shared" si="243"/>
        <v>0</v>
      </c>
      <c r="T89" s="68">
        <f t="shared" si="244"/>
        <v>0</v>
      </c>
      <c r="U89" s="177"/>
      <c r="V89" s="68">
        <f t="shared" si="237"/>
        <v>0</v>
      </c>
      <c r="W89" s="68">
        <f t="shared" si="238"/>
        <v>0</v>
      </c>
      <c r="X89" s="54">
        <f t="shared" si="253"/>
        <v>0</v>
      </c>
      <c r="Y89" s="54">
        <f t="shared" si="254"/>
        <v>0</v>
      </c>
      <c r="Z89" s="55">
        <f t="shared" si="239"/>
        <v>0</v>
      </c>
      <c r="AA89" s="55">
        <f t="shared" si="240"/>
        <v>0</v>
      </c>
      <c r="AB89" s="53">
        <f>D89*mmater*Parámetros!$G76*$X$5+AB88*(1+i_noc)</f>
        <v>0</v>
      </c>
      <c r="AC89" s="53">
        <f>E89*12*Parámetros!$F76*$X$5+AC88*(1+i_noc)</f>
        <v>696855.33111616923</v>
      </c>
      <c r="AD89" s="53"/>
      <c r="AE89" s="53"/>
      <c r="AF89" s="175"/>
      <c r="AG89" s="74">
        <f t="shared" si="250"/>
        <v>0</v>
      </c>
      <c r="AH89" s="52">
        <f t="shared" si="251"/>
        <v>0</v>
      </c>
      <c r="AI89" s="56">
        <f t="shared" si="227"/>
        <v>0</v>
      </c>
      <c r="AJ89" s="56">
        <f t="shared" si="228"/>
        <v>0</v>
      </c>
      <c r="AK89" s="56"/>
      <c r="AL89" s="56"/>
      <c r="AM89" s="56"/>
      <c r="AN89" s="56"/>
      <c r="AO89" s="56">
        <f t="shared" si="229"/>
        <v>0</v>
      </c>
      <c r="AP89" s="56">
        <f t="shared" si="230"/>
        <v>0</v>
      </c>
      <c r="AQ89" s="53">
        <f t="shared" si="231"/>
        <v>0</v>
      </c>
      <c r="AR89" s="53">
        <f t="shared" si="232"/>
        <v>0</v>
      </c>
      <c r="AS89" s="39"/>
      <c r="AT89" s="68">
        <f t="shared" si="233"/>
        <v>0</v>
      </c>
      <c r="AU89" s="68">
        <f t="shared" si="234"/>
        <v>0</v>
      </c>
      <c r="AV89" s="68">
        <f t="shared" si="235"/>
        <v>0</v>
      </c>
      <c r="AW89" s="68">
        <f t="shared" si="252"/>
        <v>0</v>
      </c>
      <c r="AX89" s="39"/>
      <c r="AY89" s="39"/>
    </row>
    <row r="90" spans="1:51" x14ac:dyDescent="0.25">
      <c r="A90" s="30">
        <v>2055</v>
      </c>
      <c r="B90" s="33">
        <f>w_uf*UF*Parámetros!C77</f>
        <v>1263992.3332262221</v>
      </c>
      <c r="C90" s="30">
        <f t="shared" si="247"/>
        <v>76</v>
      </c>
      <c r="D90" s="30">
        <f>((A90=Inputs!$C$12)*(Inputs!$D$12) + (A90=Inputs!$C$13)*(Inputs!$D$13) + (A90=Inputs!$C$14)*(Inputs!$D$14)) *(A90 &gt;= a_afil)*(A90&gt;=2024)</f>
        <v>0</v>
      </c>
      <c r="E90" s="30">
        <f>MIN(1,(A90=Inputs!$C$19)*Inputs!$D$19+(A90=Inputs!$C$20)*Inputs!$D$20+(A90=Inputs!$C$21)*Inputs!$D$21*(A90 &gt;= a_afil))</f>
        <v>0</v>
      </c>
      <c r="F90" s="30">
        <f t="shared" si="248"/>
        <v>0</v>
      </c>
      <c r="G90" s="30">
        <f t="shared" si="249"/>
        <v>0</v>
      </c>
      <c r="H90" s="30">
        <v>0.79729729890823364</v>
      </c>
      <c r="I90" s="37">
        <f t="shared" ref="I90:I121" si="255">IF(F90=1,+dens_cot,0)</f>
        <v>0</v>
      </c>
      <c r="J90" s="37">
        <f t="shared" ref="J90:J134" si="256">IF(G90=1,+dens_mujer,0)</f>
        <v>0</v>
      </c>
      <c r="K90" s="30">
        <f>1*OR(Inputs!$D$17=$A90,Inputs!$E$17=$A90)*($E90=0)*(F90=1)</f>
        <v>0</v>
      </c>
      <c r="L90" s="30">
        <f>1*OR(Inputs!$D$17=$A90,Inputs!$E$17=$A90)*($E90=0)*(G90=1)</f>
        <v>0</v>
      </c>
      <c r="M90" s="73">
        <f t="shared" si="245"/>
        <v>0</v>
      </c>
      <c r="N90" s="73">
        <f t="shared" si="246"/>
        <v>0</v>
      </c>
      <c r="O90" s="55">
        <f>Parámetros!$E77*12*I90*$P$14</f>
        <v>0</v>
      </c>
      <c r="P90" s="55">
        <f>Parámetros!$E77*12*J90*$P$14</f>
        <v>0</v>
      </c>
      <c r="Q90" s="70">
        <f t="shared" si="225"/>
        <v>0</v>
      </c>
      <c r="R90" s="70">
        <f t="shared" si="226"/>
        <v>0</v>
      </c>
      <c r="S90" s="68">
        <f t="shared" si="243"/>
        <v>0</v>
      </c>
      <c r="T90" s="68">
        <f t="shared" si="244"/>
        <v>0</v>
      </c>
      <c r="U90" s="177"/>
      <c r="V90" s="68">
        <f t="shared" si="237"/>
        <v>0</v>
      </c>
      <c r="W90" s="68">
        <f t="shared" si="238"/>
        <v>0</v>
      </c>
      <c r="X90" s="54">
        <f t="shared" si="253"/>
        <v>0</v>
      </c>
      <c r="Y90" s="54">
        <f t="shared" si="254"/>
        <v>0</v>
      </c>
      <c r="Z90" s="55">
        <f t="shared" si="239"/>
        <v>0</v>
      </c>
      <c r="AA90" s="55">
        <f t="shared" si="240"/>
        <v>0</v>
      </c>
      <c r="AB90" s="53">
        <f>D90*mmater*Parámetros!$G77*$X$5+AB89*(1+i_noc)</f>
        <v>0</v>
      </c>
      <c r="AC90" s="53">
        <f>E90*12*Parámetros!$F77*$X$5+AC89*(1+i_noc)</f>
        <v>710792.43773849262</v>
      </c>
      <c r="AD90" s="53"/>
      <c r="AE90" s="53"/>
      <c r="AF90" s="175"/>
      <c r="AG90" s="74">
        <f t="shared" si="250"/>
        <v>0</v>
      </c>
      <c r="AH90" s="52">
        <f t="shared" si="251"/>
        <v>0</v>
      </c>
      <c r="AI90" s="56">
        <f t="shared" si="227"/>
        <v>0</v>
      </c>
      <c r="AJ90" s="56">
        <f t="shared" si="228"/>
        <v>0</v>
      </c>
      <c r="AK90" s="56"/>
      <c r="AL90" s="56"/>
      <c r="AM90" s="56"/>
      <c r="AN90" s="56"/>
      <c r="AO90" s="56">
        <f t="shared" si="229"/>
        <v>0</v>
      </c>
      <c r="AP90" s="56">
        <f t="shared" si="230"/>
        <v>0</v>
      </c>
      <c r="AQ90" s="53">
        <f t="shared" si="231"/>
        <v>0</v>
      </c>
      <c r="AR90" s="53">
        <f t="shared" si="232"/>
        <v>0</v>
      </c>
      <c r="AS90" s="39"/>
      <c r="AT90" s="68">
        <f t="shared" si="233"/>
        <v>0</v>
      </c>
      <c r="AU90" s="68">
        <f t="shared" si="234"/>
        <v>0</v>
      </c>
      <c r="AV90" s="68">
        <f t="shared" si="235"/>
        <v>0</v>
      </c>
      <c r="AW90" s="68">
        <f t="shared" si="252"/>
        <v>0</v>
      </c>
      <c r="AX90" s="39"/>
      <c r="AY90" s="39"/>
    </row>
    <row r="91" spans="1:51" x14ac:dyDescent="0.25">
      <c r="A91" s="30">
        <v>2056</v>
      </c>
      <c r="B91" s="33">
        <f>w_uf*UF*Parámetros!C78</f>
        <v>1279792.2373915499</v>
      </c>
      <c r="C91" s="30">
        <f t="shared" si="247"/>
        <v>77</v>
      </c>
      <c r="D91" s="30">
        <f>((A91=Inputs!$C$12)*(Inputs!$D$12) + (A91=Inputs!$C$13)*(Inputs!$D$13) + (A91=Inputs!$C$14)*(Inputs!$D$14)) *(A91 &gt;= a_afil)*(A91&gt;=2024)</f>
        <v>0</v>
      </c>
      <c r="E91" s="30">
        <f>MIN(1,(A91=Inputs!$C$19)*Inputs!$D$19+(A91=Inputs!$C$20)*Inputs!$D$20+(A91=Inputs!$C$21)*Inputs!$D$21*(A91 &gt;= a_afil))</f>
        <v>0</v>
      </c>
      <c r="F91" s="30">
        <f t="shared" si="248"/>
        <v>0</v>
      </c>
      <c r="G91" s="30">
        <f t="shared" si="249"/>
        <v>0</v>
      </c>
      <c r="H91" s="30">
        <v>0.69628500938415527</v>
      </c>
      <c r="I91" s="37">
        <f t="shared" si="255"/>
        <v>0</v>
      </c>
      <c r="J91" s="37">
        <f t="shared" si="256"/>
        <v>0</v>
      </c>
      <c r="K91" s="30">
        <f>1*OR(Inputs!$D$17=$A91,Inputs!$E$17=$A91)*($E91=0)*(F91=1)</f>
        <v>0</v>
      </c>
      <c r="L91" s="30">
        <f>1*OR(Inputs!$D$17=$A91,Inputs!$E$17=$A91)*($E91=0)*(G91=1)</f>
        <v>0</v>
      </c>
      <c r="M91" s="73">
        <f t="shared" si="245"/>
        <v>0</v>
      </c>
      <c r="N91" s="73">
        <f t="shared" si="246"/>
        <v>0</v>
      </c>
      <c r="O91" s="55">
        <f>Parámetros!$E78*12*I91*$P$14</f>
        <v>0</v>
      </c>
      <c r="P91" s="55">
        <f>Parámetros!$E78*12*J91*$P$14</f>
        <v>0</v>
      </c>
      <c r="Q91" s="70">
        <f t="shared" si="225"/>
        <v>0</v>
      </c>
      <c r="R91" s="70">
        <f t="shared" si="226"/>
        <v>0</v>
      </c>
      <c r="S91" s="68">
        <f t="shared" si="243"/>
        <v>0</v>
      </c>
      <c r="T91" s="68">
        <f t="shared" si="244"/>
        <v>0</v>
      </c>
      <c r="U91" s="177"/>
      <c r="V91" s="68">
        <f t="shared" si="237"/>
        <v>0</v>
      </c>
      <c r="W91" s="68">
        <f t="shared" si="238"/>
        <v>0</v>
      </c>
      <c r="X91" s="54">
        <f t="shared" si="253"/>
        <v>0</v>
      </c>
      <c r="Y91" s="54">
        <f t="shared" si="254"/>
        <v>0</v>
      </c>
      <c r="Z91" s="55">
        <f t="shared" si="239"/>
        <v>0</v>
      </c>
      <c r="AA91" s="55">
        <f t="shared" si="240"/>
        <v>0</v>
      </c>
      <c r="AB91" s="53">
        <f>D91*mmater*Parámetros!$G78*$X$5+AB90*(1+i_noc)</f>
        <v>0</v>
      </c>
      <c r="AC91" s="53">
        <f>E91*12*Parámetros!$F78*$X$5+AC90*(1+i_noc)</f>
        <v>725008.28649326251</v>
      </c>
      <c r="AD91" s="53"/>
      <c r="AE91" s="53"/>
      <c r="AF91" s="175"/>
      <c r="AG91" s="74">
        <f t="shared" si="250"/>
        <v>0</v>
      </c>
      <c r="AH91" s="52">
        <f t="shared" si="251"/>
        <v>0</v>
      </c>
      <c r="AI91" s="56">
        <f t="shared" ref="AI91:AI122" si="257">($A91=D$9)*SUM(V91,Z91)/(12*_xlfn.XLOOKUP(AI$15,sexo_cnu,cnu))</f>
        <v>0</v>
      </c>
      <c r="AJ91" s="56">
        <f t="shared" ref="AJ91:AJ122" si="258">($A91=E$9)*SUM(W91,AA91)/(12*_xlfn.XLOOKUP(AJ$15,sexo_cnu,cnu))</f>
        <v>0</v>
      </c>
      <c r="AK91" s="56"/>
      <c r="AL91" s="56"/>
      <c r="AM91" s="56"/>
      <c r="AN91" s="56"/>
      <c r="AO91" s="56">
        <f t="shared" ref="AO91:AO122" si="259">($A91=E$9)*AB91/(12*_xlfn.XLOOKUP(AO$15,sexo_cnu,cnu_noc))</f>
        <v>0</v>
      </c>
      <c r="AP91" s="56">
        <f t="shared" ref="AP91:AP122" si="260">($A91=E$9)*AC91/(12*_xlfn.XLOOKUP(AP$15,sexo_cnu,cnu_noc))</f>
        <v>0</v>
      </c>
      <c r="AQ91" s="53">
        <f t="shared" ref="AQ91:AQ122" si="261">($A91=D$9)*AD91/(12*_xlfn.XLOOKUP(AQ$15,sexo_cnu,cnu_noc))</f>
        <v>0</v>
      </c>
      <c r="AR91" s="53">
        <f t="shared" ref="AR91:AR122" si="262">($A91=E$9)*AE91/(12*_xlfn.XLOOKUP(AR$15,sexo_cnu,cnu_noc))</f>
        <v>0</v>
      </c>
      <c r="AS91" s="39"/>
      <c r="AT91" s="68">
        <f t="shared" ref="AT91:AT122" si="263">IF($A91=a_nac+edad_ret_h,V91/(12*_xlfn.XLOOKUP(AT$15,sexo_cnu,cnu)),0)</f>
        <v>0</v>
      </c>
      <c r="AU91" s="68">
        <f t="shared" ref="AU91:AU122" si="264">IF($A91=a_nac+edad_ret_m,W91/(12*_xlfn.XLOOKUP(AU$15,sexo_cnu,cnu)),0)</f>
        <v>0</v>
      </c>
      <c r="AV91" s="68">
        <f t="shared" ref="AV91:AV122" si="265">IF($A91=a_nac+edad_ret_h,Z91/(12*_xlfn.XLOOKUP(AV$15,sexo_cnu,cnu)),0)</f>
        <v>0</v>
      </c>
      <c r="AW91" s="68">
        <f t="shared" si="252"/>
        <v>0</v>
      </c>
      <c r="AX91" s="39"/>
      <c r="AY91" s="39"/>
    </row>
    <row r="92" spans="1:51" x14ac:dyDescent="0.25">
      <c r="A92" s="30">
        <v>2057</v>
      </c>
      <c r="B92" s="33">
        <f>w_uf*UF*Parámetros!C79</f>
        <v>1295789.6403589442</v>
      </c>
      <c r="C92" s="30">
        <f t="shared" si="247"/>
        <v>78</v>
      </c>
      <c r="D92" s="30">
        <f>((A92=Inputs!$C$12)*(Inputs!$D$12) + (A92=Inputs!$C$13)*(Inputs!$D$13) + (A92=Inputs!$C$14)*(Inputs!$D$14)) *(A92 &gt;= a_afil)*(A92&gt;=2024)</f>
        <v>0</v>
      </c>
      <c r="E92" s="30">
        <f>MIN(1,(A92=Inputs!$C$19)*Inputs!$D$19+(A92=Inputs!$C$20)*Inputs!$D$20+(A92=Inputs!$C$21)*Inputs!$D$21*(A92 &gt;= a_afil))</f>
        <v>0</v>
      </c>
      <c r="F92" s="30">
        <f t="shared" si="248"/>
        <v>0</v>
      </c>
      <c r="G92" s="30">
        <f t="shared" si="249"/>
        <v>0</v>
      </c>
      <c r="H92" s="30">
        <v>0.40160459280014038</v>
      </c>
      <c r="I92" s="37">
        <f t="shared" si="255"/>
        <v>0</v>
      </c>
      <c r="J92" s="37">
        <f t="shared" si="256"/>
        <v>0</v>
      </c>
      <c r="K92" s="30">
        <f>1*OR(Inputs!$D$17=$A92,Inputs!$E$17=$A92)*($E92=0)*(F92=1)</f>
        <v>0</v>
      </c>
      <c r="L92" s="30">
        <f>1*OR(Inputs!$D$17=$A92,Inputs!$E$17=$A92)*($E92=0)*(G92=1)</f>
        <v>0</v>
      </c>
      <c r="M92" s="73">
        <f t="shared" si="245"/>
        <v>0</v>
      </c>
      <c r="N92" s="73">
        <f t="shared" si="246"/>
        <v>0</v>
      </c>
      <c r="O92" s="55">
        <f>Parámetros!$E79*12*I92*$P$14</f>
        <v>0</v>
      </c>
      <c r="P92" s="55">
        <f>Parámetros!$E79*12*J92*$P$14</f>
        <v>0</v>
      </c>
      <c r="Q92" s="70">
        <f t="shared" si="225"/>
        <v>0</v>
      </c>
      <c r="R92" s="70">
        <f t="shared" si="226"/>
        <v>0</v>
      </c>
      <c r="S92" s="68">
        <f t="shared" si="243"/>
        <v>0</v>
      </c>
      <c r="T92" s="68">
        <f t="shared" si="244"/>
        <v>0</v>
      </c>
      <c r="U92" s="177"/>
      <c r="V92" s="68">
        <f t="shared" si="237"/>
        <v>0</v>
      </c>
      <c r="W92" s="68">
        <f t="shared" si="238"/>
        <v>0</v>
      </c>
      <c r="X92" s="54">
        <f t="shared" si="253"/>
        <v>0</v>
      </c>
      <c r="Y92" s="54">
        <f t="shared" si="254"/>
        <v>0</v>
      </c>
      <c r="Z92" s="55">
        <f t="shared" si="239"/>
        <v>0</v>
      </c>
      <c r="AA92" s="55">
        <f t="shared" si="240"/>
        <v>0</v>
      </c>
      <c r="AB92" s="53">
        <f>D92*mmater*Parámetros!$G79*$X$5+AB91*(1+i_noc)</f>
        <v>0</v>
      </c>
      <c r="AC92" s="53">
        <f>E92*12*Parámetros!$F79*$X$5+AC91*(1+i_noc)</f>
        <v>739508.45222312782</v>
      </c>
      <c r="AD92" s="53"/>
      <c r="AE92" s="53"/>
      <c r="AF92" s="175"/>
      <c r="AG92" s="74">
        <f t="shared" si="250"/>
        <v>0</v>
      </c>
      <c r="AH92" s="52">
        <f t="shared" si="251"/>
        <v>0</v>
      </c>
      <c r="AI92" s="56">
        <f t="shared" si="257"/>
        <v>0</v>
      </c>
      <c r="AJ92" s="56">
        <f t="shared" si="258"/>
        <v>0</v>
      </c>
      <c r="AK92" s="56"/>
      <c r="AL92" s="56"/>
      <c r="AM92" s="56"/>
      <c r="AN92" s="56"/>
      <c r="AO92" s="56">
        <f t="shared" si="259"/>
        <v>0</v>
      </c>
      <c r="AP92" s="56">
        <f t="shared" si="260"/>
        <v>0</v>
      </c>
      <c r="AQ92" s="53">
        <f t="shared" si="261"/>
        <v>0</v>
      </c>
      <c r="AR92" s="53">
        <f t="shared" si="262"/>
        <v>0</v>
      </c>
      <c r="AS92" s="39"/>
      <c r="AT92" s="68">
        <f t="shared" si="263"/>
        <v>0</v>
      </c>
      <c r="AU92" s="68">
        <f t="shared" si="264"/>
        <v>0</v>
      </c>
      <c r="AV92" s="68">
        <f t="shared" si="265"/>
        <v>0</v>
      </c>
      <c r="AW92" s="68">
        <f t="shared" si="252"/>
        <v>0</v>
      </c>
      <c r="AX92" s="39"/>
      <c r="AY92" s="39"/>
    </row>
    <row r="93" spans="1:51" x14ac:dyDescent="0.25">
      <c r="A93" s="30">
        <v>2058</v>
      </c>
      <c r="B93" s="33">
        <f>w_uf*UF*Parámetros!C80</f>
        <v>1311987.010863431</v>
      </c>
      <c r="C93" s="30">
        <f t="shared" si="247"/>
        <v>79</v>
      </c>
      <c r="D93" s="30">
        <f>((A93=Inputs!$C$12)*(Inputs!$D$12) + (A93=Inputs!$C$13)*(Inputs!$D$13) + (A93=Inputs!$C$14)*(Inputs!$D$14)) *(A93 &gt;= a_afil)*(A93&gt;=2024)</f>
        <v>0</v>
      </c>
      <c r="E93" s="30">
        <f>MIN(1,(A93=Inputs!$C$19)*Inputs!$D$19+(A93=Inputs!$C$20)*Inputs!$D$20+(A93=Inputs!$C$21)*Inputs!$D$21*(A93 &gt;= a_afil))</f>
        <v>0</v>
      </c>
      <c r="F93" s="30">
        <f t="shared" si="248"/>
        <v>0</v>
      </c>
      <c r="G93" s="30">
        <f t="shared" si="249"/>
        <v>0</v>
      </c>
      <c r="H93" s="30">
        <v>1.6297698020935059E-2</v>
      </c>
      <c r="I93" s="37">
        <f t="shared" si="255"/>
        <v>0</v>
      </c>
      <c r="J93" s="37">
        <f t="shared" si="256"/>
        <v>0</v>
      </c>
      <c r="K93" s="30">
        <f>1*OR(Inputs!$D$17=$A93,Inputs!$E$17=$A93)*($E93=0)*(F93=1)</f>
        <v>0</v>
      </c>
      <c r="L93" s="30">
        <f>1*OR(Inputs!$D$17=$A93,Inputs!$E$17=$A93)*($E93=0)*(G93=1)</f>
        <v>0</v>
      </c>
      <c r="M93" s="73">
        <f t="shared" si="245"/>
        <v>0</v>
      </c>
      <c r="N93" s="73">
        <f t="shared" si="246"/>
        <v>0</v>
      </c>
      <c r="O93" s="55">
        <f>Parámetros!$E80*12*I93*$P$14</f>
        <v>0</v>
      </c>
      <c r="P93" s="55">
        <f>Parámetros!$E80*12*J93*$P$14</f>
        <v>0</v>
      </c>
      <c r="Q93" s="70">
        <f t="shared" si="225"/>
        <v>0</v>
      </c>
      <c r="R93" s="70">
        <f t="shared" si="226"/>
        <v>0</v>
      </c>
      <c r="S93" s="68">
        <f t="shared" si="243"/>
        <v>0</v>
      </c>
      <c r="T93" s="68">
        <f t="shared" si="244"/>
        <v>0</v>
      </c>
      <c r="U93" s="177"/>
      <c r="V93" s="68">
        <f t="shared" ref="V93:V124" si="266">M93*alpha+O93*(1-alpha)+F92*V92*(1+_xlfn.XLOOKUP(MIN(2024,$A92),agnos_rent,rent_base))*(1-$X$6)</f>
        <v>0</v>
      </c>
      <c r="W93" s="68">
        <f t="shared" ref="W93:W124" si="267">N93*alpha+P93*(1-alpha)+G92*W92*(1+_xlfn.XLOOKUP(MIN(2024,$A92),agnos_rent,rent_base))*(1-$X$6)</f>
        <v>0</v>
      </c>
      <c r="X93" s="54">
        <f t="shared" si="253"/>
        <v>0</v>
      </c>
      <c r="Y93" s="54">
        <f t="shared" si="254"/>
        <v>0</v>
      </c>
      <c r="Z93" s="55">
        <f t="shared" ref="Z93:Z124" si="268">F92*Z92*(1+_xlfn.XLOOKUP(MIN(2024,$A92),agnos_rent,rent_base))*(1-$X$6)+S93</f>
        <v>0</v>
      </c>
      <c r="AA93" s="55">
        <f t="shared" ref="AA93:AA124" si="269">G92*AA92*(1+_xlfn.XLOOKUP(MIN(2024,$A92),agnos_rent,rent_base))*(1-$X$6)+T93</f>
        <v>0</v>
      </c>
      <c r="AB93" s="53">
        <f>D93*mmater*Parámetros!$G80*$X$5+AB92*(1+i_noc)</f>
        <v>0</v>
      </c>
      <c r="AC93" s="53">
        <f>E93*12*Parámetros!$F80*$X$5+AC92*(1+i_noc)</f>
        <v>754298.62126759044</v>
      </c>
      <c r="AD93" s="53"/>
      <c r="AE93" s="53"/>
      <c r="AF93" s="175"/>
      <c r="AG93" s="74">
        <f t="shared" si="250"/>
        <v>0</v>
      </c>
      <c r="AH93" s="52">
        <f t="shared" si="251"/>
        <v>0</v>
      </c>
      <c r="AI93" s="56">
        <f t="shared" si="257"/>
        <v>0</v>
      </c>
      <c r="AJ93" s="56">
        <f t="shared" si="258"/>
        <v>0</v>
      </c>
      <c r="AK93" s="56"/>
      <c r="AL93" s="56"/>
      <c r="AM93" s="56"/>
      <c r="AN93" s="56"/>
      <c r="AO93" s="56">
        <f t="shared" si="259"/>
        <v>0</v>
      </c>
      <c r="AP93" s="56">
        <f t="shared" si="260"/>
        <v>0</v>
      </c>
      <c r="AQ93" s="53">
        <f t="shared" si="261"/>
        <v>0</v>
      </c>
      <c r="AR93" s="53">
        <f t="shared" si="262"/>
        <v>0</v>
      </c>
      <c r="AS93" s="39"/>
      <c r="AT93" s="68">
        <f t="shared" si="263"/>
        <v>0</v>
      </c>
      <c r="AU93" s="68">
        <f t="shared" si="264"/>
        <v>0</v>
      </c>
      <c r="AV93" s="68">
        <f t="shared" si="265"/>
        <v>0</v>
      </c>
      <c r="AW93" s="68">
        <f t="shared" si="252"/>
        <v>0</v>
      </c>
      <c r="AX93" s="39"/>
      <c r="AY93" s="39"/>
    </row>
    <row r="94" spans="1:51" x14ac:dyDescent="0.25">
      <c r="A94" s="30">
        <v>2059</v>
      </c>
      <c r="B94" s="33">
        <f>w_uf*UF*Parámetros!C81</f>
        <v>1328386.8484992238</v>
      </c>
      <c r="C94" s="30">
        <f t="shared" si="247"/>
        <v>80</v>
      </c>
      <c r="D94" s="30">
        <f>((A94=Inputs!$C$12)*(Inputs!$D$12) + (A94=Inputs!$C$13)*(Inputs!$D$13) + (A94=Inputs!$C$14)*(Inputs!$D$14)) *(A94 &gt;= a_afil)*(A94&gt;=2024)</f>
        <v>0</v>
      </c>
      <c r="E94" s="30">
        <f>MIN(1,(A94=Inputs!$C$19)*Inputs!$D$19+(A94=Inputs!$C$20)*Inputs!$D$20+(A94=Inputs!$C$21)*Inputs!$D$21*(A94 &gt;= a_afil))</f>
        <v>0</v>
      </c>
      <c r="F94" s="30">
        <f t="shared" si="248"/>
        <v>0</v>
      </c>
      <c r="G94" s="30">
        <f t="shared" si="249"/>
        <v>0</v>
      </c>
      <c r="H94" s="30">
        <v>0.16776281595230103</v>
      </c>
      <c r="I94" s="37">
        <f t="shared" si="255"/>
        <v>0</v>
      </c>
      <c r="J94" s="37">
        <f t="shared" si="256"/>
        <v>0</v>
      </c>
      <c r="K94" s="30">
        <f>1*OR(Inputs!$D$17=$A94,Inputs!$E$17=$A94)*($E94=0)*(F94=1)</f>
        <v>0</v>
      </c>
      <c r="L94" s="30">
        <f>1*OR(Inputs!$D$17=$A94,Inputs!$E$17=$A94)*($E94=0)*(G94=1)</f>
        <v>0</v>
      </c>
      <c r="M94" s="73">
        <f t="shared" si="245"/>
        <v>0</v>
      </c>
      <c r="N94" s="73">
        <f t="shared" si="246"/>
        <v>0</v>
      </c>
      <c r="O94" s="55">
        <f>Parámetros!$E81*12*I94*$P$14</f>
        <v>0</v>
      </c>
      <c r="P94" s="55">
        <f>Parámetros!$E81*12*J94*$P$14</f>
        <v>0</v>
      </c>
      <c r="Q94" s="70">
        <f t="shared" si="225"/>
        <v>0</v>
      </c>
      <c r="R94" s="70">
        <f t="shared" si="226"/>
        <v>0</v>
      </c>
      <c r="S94" s="68">
        <f t="shared" si="243"/>
        <v>0</v>
      </c>
      <c r="T94" s="68">
        <f t="shared" si="244"/>
        <v>0</v>
      </c>
      <c r="U94" s="177"/>
      <c r="V94" s="68">
        <f t="shared" si="266"/>
        <v>0</v>
      </c>
      <c r="W94" s="68">
        <f t="shared" si="267"/>
        <v>0</v>
      </c>
      <c r="X94" s="54">
        <f t="shared" si="253"/>
        <v>0</v>
      </c>
      <c r="Y94" s="54">
        <f t="shared" si="254"/>
        <v>0</v>
      </c>
      <c r="Z94" s="55">
        <f t="shared" si="268"/>
        <v>0</v>
      </c>
      <c r="AA94" s="55">
        <f t="shared" si="269"/>
        <v>0</v>
      </c>
      <c r="AB94" s="53">
        <f>D94*mmater*Parámetros!$G81*$X$5+AB93*(1+i_noc)</f>
        <v>0</v>
      </c>
      <c r="AC94" s="53">
        <f>E94*12*Parámetros!$F81*$X$5+AC93*(1+i_noc)</f>
        <v>769384.59369294229</v>
      </c>
      <c r="AD94" s="53"/>
      <c r="AE94" s="53"/>
      <c r="AF94" s="175"/>
      <c r="AG94" s="74">
        <f t="shared" si="250"/>
        <v>0</v>
      </c>
      <c r="AH94" s="52">
        <f t="shared" si="251"/>
        <v>0</v>
      </c>
      <c r="AI94" s="56">
        <f t="shared" si="257"/>
        <v>0</v>
      </c>
      <c r="AJ94" s="56">
        <f t="shared" si="258"/>
        <v>0</v>
      </c>
      <c r="AK94" s="56"/>
      <c r="AL94" s="56"/>
      <c r="AM94" s="56"/>
      <c r="AN94" s="56"/>
      <c r="AO94" s="56">
        <f t="shared" si="259"/>
        <v>0</v>
      </c>
      <c r="AP94" s="56">
        <f t="shared" si="260"/>
        <v>0</v>
      </c>
      <c r="AQ94" s="53">
        <f t="shared" si="261"/>
        <v>0</v>
      </c>
      <c r="AR94" s="53">
        <f t="shared" si="262"/>
        <v>0</v>
      </c>
      <c r="AS94" s="39"/>
      <c r="AT94" s="68">
        <f t="shared" si="263"/>
        <v>0</v>
      </c>
      <c r="AU94" s="68">
        <f t="shared" si="264"/>
        <v>0</v>
      </c>
      <c r="AV94" s="68">
        <f t="shared" si="265"/>
        <v>0</v>
      </c>
      <c r="AW94" s="68">
        <f t="shared" si="252"/>
        <v>0</v>
      </c>
      <c r="AX94" s="39"/>
      <c r="AY94" s="39"/>
    </row>
    <row r="95" spans="1:51" x14ac:dyDescent="0.25">
      <c r="A95" s="30">
        <v>2060</v>
      </c>
      <c r="B95" s="33">
        <f>w_uf*UF*Parámetros!C82</f>
        <v>1344991.6841054638</v>
      </c>
      <c r="C95" s="30">
        <f t="shared" si="247"/>
        <v>81</v>
      </c>
      <c r="D95" s="30">
        <f>((A95=Inputs!$C$12)*(Inputs!$D$12) + (A95=Inputs!$C$13)*(Inputs!$D$13) + (A95=Inputs!$C$14)*(Inputs!$D$14)) *(A95 &gt;= a_afil)*(A95&gt;=2024)</f>
        <v>0</v>
      </c>
      <c r="E95" s="30">
        <f>MIN(1,(A95=Inputs!$C$19)*Inputs!$D$19+(A95=Inputs!$C$20)*Inputs!$D$20+(A95=Inputs!$C$21)*Inputs!$D$21*(A95 &gt;= a_afil))</f>
        <v>0</v>
      </c>
      <c r="F95" s="30">
        <f t="shared" si="248"/>
        <v>0</v>
      </c>
      <c r="G95" s="30">
        <f t="shared" si="249"/>
        <v>0</v>
      </c>
      <c r="H95" s="30">
        <v>0.16423416137695313</v>
      </c>
      <c r="I95" s="37">
        <f t="shared" si="255"/>
        <v>0</v>
      </c>
      <c r="J95" s="37">
        <f t="shared" si="256"/>
        <v>0</v>
      </c>
      <c r="K95" s="30">
        <f>1*OR(Inputs!$D$17=$A95,Inputs!$E$17=$A95)*($E95=0)*(F95=1)</f>
        <v>0</v>
      </c>
      <c r="L95" s="30">
        <f>1*OR(Inputs!$D$17=$A95,Inputs!$E$17=$A95)*($E95=0)*(G95=1)</f>
        <v>0</v>
      </c>
      <c r="M95" s="73">
        <f t="shared" si="245"/>
        <v>0</v>
      </c>
      <c r="N95" s="73">
        <f t="shared" si="246"/>
        <v>0</v>
      </c>
      <c r="O95" s="55">
        <f>Parámetros!$E82*12*I95*$P$14</f>
        <v>0</v>
      </c>
      <c r="P95" s="55">
        <f>Parámetros!$E82*12*J95*$P$14</f>
        <v>0</v>
      </c>
      <c r="Q95" s="70">
        <f t="shared" si="225"/>
        <v>0</v>
      </c>
      <c r="R95" s="70">
        <f t="shared" si="226"/>
        <v>0</v>
      </c>
      <c r="S95" s="68">
        <f t="shared" si="243"/>
        <v>0</v>
      </c>
      <c r="T95" s="68">
        <f t="shared" si="244"/>
        <v>0</v>
      </c>
      <c r="U95" s="177"/>
      <c r="V95" s="68">
        <f t="shared" si="266"/>
        <v>0</v>
      </c>
      <c r="W95" s="68">
        <f t="shared" si="267"/>
        <v>0</v>
      </c>
      <c r="X95" s="54">
        <f t="shared" si="253"/>
        <v>0</v>
      </c>
      <c r="Y95" s="54">
        <f t="shared" si="254"/>
        <v>0</v>
      </c>
      <c r="Z95" s="55">
        <f t="shared" si="268"/>
        <v>0</v>
      </c>
      <c r="AA95" s="55">
        <f t="shared" si="269"/>
        <v>0</v>
      </c>
      <c r="AB95" s="53">
        <f>D95*mmater*Parámetros!$G82*$X$5+AB94*(1+i_noc)</f>
        <v>0</v>
      </c>
      <c r="AC95" s="53">
        <f>E95*12*Parámetros!$F82*$X$5+AC94*(1+i_noc)</f>
        <v>784772.28556680121</v>
      </c>
      <c r="AD95" s="53"/>
      <c r="AE95" s="53"/>
      <c r="AF95" s="175"/>
      <c r="AG95" s="74">
        <f t="shared" si="250"/>
        <v>0</v>
      </c>
      <c r="AH95" s="52">
        <f t="shared" si="251"/>
        <v>0</v>
      </c>
      <c r="AI95" s="56">
        <f t="shared" si="257"/>
        <v>0</v>
      </c>
      <c r="AJ95" s="56">
        <f t="shared" si="258"/>
        <v>0</v>
      </c>
      <c r="AK95" s="56"/>
      <c r="AL95" s="56"/>
      <c r="AM95" s="56"/>
      <c r="AN95" s="56"/>
      <c r="AO95" s="56">
        <f t="shared" si="259"/>
        <v>0</v>
      </c>
      <c r="AP95" s="56">
        <f t="shared" si="260"/>
        <v>0</v>
      </c>
      <c r="AQ95" s="53">
        <f t="shared" si="261"/>
        <v>0</v>
      </c>
      <c r="AR95" s="53">
        <f t="shared" si="262"/>
        <v>0</v>
      </c>
      <c r="AS95" s="39"/>
      <c r="AT95" s="68">
        <f t="shared" si="263"/>
        <v>0</v>
      </c>
      <c r="AU95" s="68">
        <f t="shared" si="264"/>
        <v>0</v>
      </c>
      <c r="AV95" s="68">
        <f t="shared" si="265"/>
        <v>0</v>
      </c>
      <c r="AW95" s="68">
        <f t="shared" si="252"/>
        <v>0</v>
      </c>
      <c r="AX95" s="39"/>
      <c r="AY95" s="39"/>
    </row>
    <row r="96" spans="1:51" x14ac:dyDescent="0.25">
      <c r="A96" s="30">
        <v>2061</v>
      </c>
      <c r="B96" s="33">
        <f>w_uf*UF*Parámetros!C83</f>
        <v>1361804.0801567822</v>
      </c>
      <c r="C96" s="30">
        <f t="shared" si="247"/>
        <v>82</v>
      </c>
      <c r="D96" s="30">
        <f>((A96=Inputs!$C$12)*(Inputs!$D$12) + (A96=Inputs!$C$13)*(Inputs!$D$13) + (A96=Inputs!$C$14)*(Inputs!$D$14)) *(A96 &gt;= a_afil)*(A96&gt;=2024)</f>
        <v>0</v>
      </c>
      <c r="E96" s="30">
        <f>MIN(1,(A96=Inputs!$C$19)*Inputs!$D$19+(A96=Inputs!$C$20)*Inputs!$D$20+(A96=Inputs!$C$21)*Inputs!$D$21*(A96 &gt;= a_afil))</f>
        <v>0</v>
      </c>
      <c r="F96" s="30">
        <f t="shared" si="248"/>
        <v>0</v>
      </c>
      <c r="G96" s="30">
        <f t="shared" si="249"/>
        <v>0</v>
      </c>
      <c r="H96" s="30">
        <v>0.50972002744674683</v>
      </c>
      <c r="I96" s="37">
        <f t="shared" si="255"/>
        <v>0</v>
      </c>
      <c r="J96" s="37">
        <f t="shared" si="256"/>
        <v>0</v>
      </c>
      <c r="K96" s="30">
        <f>1*OR(Inputs!$D$17=$A96,Inputs!$E$17=$A96)*($E96=0)*(F96=1)</f>
        <v>0</v>
      </c>
      <c r="L96" s="30">
        <f>1*OR(Inputs!$D$17=$A96,Inputs!$E$17=$A96)*($E96=0)*(G96=1)</f>
        <v>0</v>
      </c>
      <c r="M96" s="73">
        <f t="shared" si="245"/>
        <v>0</v>
      </c>
      <c r="N96" s="73">
        <f t="shared" si="246"/>
        <v>0</v>
      </c>
      <c r="O96" s="55">
        <f>Parámetros!$E83*12*I96*$P$14</f>
        <v>0</v>
      </c>
      <c r="P96" s="55">
        <f>Parámetros!$E83*12*J96*$P$14</f>
        <v>0</v>
      </c>
      <c r="Q96" s="70">
        <f t="shared" si="225"/>
        <v>0</v>
      </c>
      <c r="R96" s="70">
        <f t="shared" si="226"/>
        <v>0</v>
      </c>
      <c r="S96" s="68">
        <f t="shared" ref="S96:S127" si="270">MIN($B96,_xlfn.XLOOKUP($A96,agnos,tope_ref_ind)*UF) * (12*I96*$X$3 +  K96*_xlfn.XLOOKUP(n_mes_laguna,giros_sc,tr_sc_acum)*($X$3+$X$4))</f>
        <v>0</v>
      </c>
      <c r="T96" s="68">
        <f t="shared" ref="T96:T127" si="271">MIN($B96,_xlfn.XLOOKUP($A96,agnos,tope_ref_ind)*UF) * (12*J96*$X$3 +  L96*_xlfn.XLOOKUP(n_mes_laguna,giros_sc,tr_sc_acum)*($X$3+$X$4))</f>
        <v>0</v>
      </c>
      <c r="U96" s="177"/>
      <c r="V96" s="68">
        <f t="shared" si="266"/>
        <v>0</v>
      </c>
      <c r="W96" s="68">
        <f t="shared" si="267"/>
        <v>0</v>
      </c>
      <c r="X96" s="54">
        <f t="shared" si="253"/>
        <v>0</v>
      </c>
      <c r="Y96" s="54">
        <f t="shared" si="254"/>
        <v>0</v>
      </c>
      <c r="Z96" s="55">
        <f t="shared" si="268"/>
        <v>0</v>
      </c>
      <c r="AA96" s="55">
        <f t="shared" si="269"/>
        <v>0</v>
      </c>
      <c r="AB96" s="53">
        <f>D96*mmater*Parámetros!$G83*$X$5+AB95*(1+i_noc)</f>
        <v>0</v>
      </c>
      <c r="AC96" s="53">
        <f>E96*12*Parámetros!$F83*$X$5+AC95*(1+i_noc)</f>
        <v>800467.73127813719</v>
      </c>
      <c r="AD96" s="53"/>
      <c r="AE96" s="53"/>
      <c r="AF96" s="175"/>
      <c r="AG96" s="74">
        <f t="shared" si="250"/>
        <v>0</v>
      </c>
      <c r="AH96" s="52">
        <f t="shared" si="251"/>
        <v>0</v>
      </c>
      <c r="AI96" s="56">
        <f t="shared" si="257"/>
        <v>0</v>
      </c>
      <c r="AJ96" s="56">
        <f t="shared" si="258"/>
        <v>0</v>
      </c>
      <c r="AK96" s="56"/>
      <c r="AL96" s="56"/>
      <c r="AM96" s="56"/>
      <c r="AN96" s="56"/>
      <c r="AO96" s="56">
        <f t="shared" si="259"/>
        <v>0</v>
      </c>
      <c r="AP96" s="56">
        <f t="shared" si="260"/>
        <v>0</v>
      </c>
      <c r="AQ96" s="53">
        <f t="shared" si="261"/>
        <v>0</v>
      </c>
      <c r="AR96" s="53">
        <f t="shared" si="262"/>
        <v>0</v>
      </c>
      <c r="AS96" s="39"/>
      <c r="AT96" s="68">
        <f t="shared" si="263"/>
        <v>0</v>
      </c>
      <c r="AU96" s="68">
        <f t="shared" si="264"/>
        <v>0</v>
      </c>
      <c r="AV96" s="68">
        <f t="shared" si="265"/>
        <v>0</v>
      </c>
      <c r="AW96" s="68">
        <f t="shared" si="252"/>
        <v>0</v>
      </c>
      <c r="AX96" s="39"/>
      <c r="AY96" s="39"/>
    </row>
    <row r="97" spans="1:52" x14ac:dyDescent="0.25">
      <c r="A97" s="30">
        <v>2062</v>
      </c>
      <c r="B97" s="33">
        <f>w_uf*UF*Parámetros!C84</f>
        <v>1378826.6311587419</v>
      </c>
      <c r="C97" s="30">
        <f t="shared" si="247"/>
        <v>83</v>
      </c>
      <c r="D97" s="30">
        <f>((A97=Inputs!$C$12)*(Inputs!$D$12) + (A97=Inputs!$C$13)*(Inputs!$D$13) + (A97=Inputs!$C$14)*(Inputs!$D$14)) *(A97 &gt;= a_afil)*(A97&gt;=2024)</f>
        <v>0</v>
      </c>
      <c r="E97" s="30">
        <f>MIN(1,(A97=Inputs!$C$19)*Inputs!$D$19+(A97=Inputs!$C$20)*Inputs!$D$20+(A97=Inputs!$C$21)*Inputs!$D$21*(A97 &gt;= a_afil))</f>
        <v>0</v>
      </c>
      <c r="F97" s="30">
        <f t="shared" si="248"/>
        <v>0</v>
      </c>
      <c r="G97" s="30">
        <f t="shared" si="249"/>
        <v>0</v>
      </c>
      <c r="H97" s="30">
        <v>0.40606272220611572</v>
      </c>
      <c r="I97" s="37">
        <f t="shared" si="255"/>
        <v>0</v>
      </c>
      <c r="J97" s="37">
        <f t="shared" si="256"/>
        <v>0</v>
      </c>
      <c r="K97" s="30">
        <f>1*OR(Inputs!$D$17=$A97,Inputs!$E$17=$A97)*($E97=0)*(F97=1)</f>
        <v>0</v>
      </c>
      <c r="L97" s="30">
        <f>1*OR(Inputs!$D$17=$A97,Inputs!$E$17=$A97)*($E97=0)*(G97=1)</f>
        <v>0</v>
      </c>
      <c r="M97" s="73">
        <f t="shared" si="245"/>
        <v>0</v>
      </c>
      <c r="N97" s="73">
        <f t="shared" si="246"/>
        <v>0</v>
      </c>
      <c r="O97" s="55">
        <f>Parámetros!$E84*12*I97*$P$14</f>
        <v>0</v>
      </c>
      <c r="P97" s="55">
        <f>Parámetros!$E84*12*J97*$P$14</f>
        <v>0</v>
      </c>
      <c r="Q97" s="70">
        <f t="shared" si="225"/>
        <v>0</v>
      </c>
      <c r="R97" s="70">
        <f t="shared" si="226"/>
        <v>0</v>
      </c>
      <c r="S97" s="68">
        <f t="shared" si="270"/>
        <v>0</v>
      </c>
      <c r="T97" s="68">
        <f t="shared" si="271"/>
        <v>0</v>
      </c>
      <c r="U97" s="177"/>
      <c r="V97" s="68">
        <f t="shared" si="266"/>
        <v>0</v>
      </c>
      <c r="W97" s="68">
        <f t="shared" si="267"/>
        <v>0</v>
      </c>
      <c r="X97" s="54">
        <f t="shared" si="253"/>
        <v>0</v>
      </c>
      <c r="Y97" s="54">
        <f t="shared" si="254"/>
        <v>0</v>
      </c>
      <c r="Z97" s="55">
        <f t="shared" si="268"/>
        <v>0</v>
      </c>
      <c r="AA97" s="55">
        <f t="shared" si="269"/>
        <v>0</v>
      </c>
      <c r="AB97" s="53">
        <f>D97*mmater*Parámetros!$G84*$X$5+AB96*(1+i_noc)</f>
        <v>0</v>
      </c>
      <c r="AC97" s="53">
        <f>E97*12*Parámetros!$F84*$X$5+AC96*(1+i_noc)</f>
        <v>816477.08590369998</v>
      </c>
      <c r="AD97" s="53"/>
      <c r="AE97" s="53"/>
      <c r="AF97" s="175"/>
      <c r="AG97" s="74">
        <f t="shared" si="250"/>
        <v>0</v>
      </c>
      <c r="AH97" s="52">
        <f t="shared" si="251"/>
        <v>0</v>
      </c>
      <c r="AI97" s="56">
        <f t="shared" si="257"/>
        <v>0</v>
      </c>
      <c r="AJ97" s="56">
        <f t="shared" si="258"/>
        <v>0</v>
      </c>
      <c r="AK97" s="56"/>
      <c r="AL97" s="56"/>
      <c r="AM97" s="56"/>
      <c r="AN97" s="56"/>
      <c r="AO97" s="56">
        <f t="shared" si="259"/>
        <v>0</v>
      </c>
      <c r="AP97" s="56">
        <f t="shared" si="260"/>
        <v>0</v>
      </c>
      <c r="AQ97" s="53">
        <f t="shared" si="261"/>
        <v>0</v>
      </c>
      <c r="AR97" s="53">
        <f t="shared" si="262"/>
        <v>0</v>
      </c>
      <c r="AS97" s="39"/>
      <c r="AT97" s="68">
        <f t="shared" si="263"/>
        <v>0</v>
      </c>
      <c r="AU97" s="68">
        <f t="shared" si="264"/>
        <v>0</v>
      </c>
      <c r="AV97" s="68">
        <f t="shared" si="265"/>
        <v>0</v>
      </c>
      <c r="AW97" s="68">
        <f t="shared" si="252"/>
        <v>0</v>
      </c>
      <c r="AX97" s="39"/>
      <c r="AY97" s="39"/>
    </row>
    <row r="98" spans="1:52" x14ac:dyDescent="0.25">
      <c r="A98" s="30">
        <v>2063</v>
      </c>
      <c r="B98" s="33">
        <f>w_uf*UF*Parámetros!C85</f>
        <v>1396061.9640482261</v>
      </c>
      <c r="C98" s="30">
        <f t="shared" si="247"/>
        <v>84</v>
      </c>
      <c r="D98" s="30">
        <f>((A98=Inputs!$C$12)*(Inputs!$D$12) + (A98=Inputs!$C$13)*(Inputs!$D$13) + (A98=Inputs!$C$14)*(Inputs!$D$14)) *(A98 &gt;= a_afil)*(A98&gt;=2024)</f>
        <v>0</v>
      </c>
      <c r="E98" s="30">
        <f>MIN(1,(A98=Inputs!$C$19)*Inputs!$D$19+(A98=Inputs!$C$20)*Inputs!$D$20+(A98=Inputs!$C$21)*Inputs!$D$21*(A98 &gt;= a_afil))</f>
        <v>0</v>
      </c>
      <c r="F98" s="30">
        <f t="shared" si="248"/>
        <v>0</v>
      </c>
      <c r="G98" s="30">
        <f t="shared" si="249"/>
        <v>0</v>
      </c>
      <c r="H98" s="30">
        <v>0.10613375902175903</v>
      </c>
      <c r="I98" s="37">
        <f t="shared" si="255"/>
        <v>0</v>
      </c>
      <c r="J98" s="37">
        <f t="shared" si="256"/>
        <v>0</v>
      </c>
      <c r="K98" s="30">
        <f>1*OR(Inputs!$D$17=$A98,Inputs!$E$17=$A98)*($E98=0)*(F98=1)</f>
        <v>0</v>
      </c>
      <c r="L98" s="30">
        <f>1*OR(Inputs!$D$17=$A98,Inputs!$E$17=$A98)*($E98=0)*(G98=1)</f>
        <v>0</v>
      </c>
      <c r="M98" s="73">
        <f t="shared" si="245"/>
        <v>0</v>
      </c>
      <c r="N98" s="73">
        <f t="shared" si="246"/>
        <v>0</v>
      </c>
      <c r="O98" s="55">
        <f>Parámetros!$E85*12*I98*$P$14</f>
        <v>0</v>
      </c>
      <c r="P98" s="55">
        <f>Parámetros!$E85*12*J98*$P$14</f>
        <v>0</v>
      </c>
      <c r="Q98" s="70">
        <f t="shared" si="225"/>
        <v>0</v>
      </c>
      <c r="R98" s="70">
        <f t="shared" si="226"/>
        <v>0</v>
      </c>
      <c r="S98" s="68">
        <f t="shared" si="270"/>
        <v>0</v>
      </c>
      <c r="T98" s="68">
        <f t="shared" si="271"/>
        <v>0</v>
      </c>
      <c r="U98" s="177"/>
      <c r="V98" s="68">
        <f t="shared" si="266"/>
        <v>0</v>
      </c>
      <c r="W98" s="68">
        <f t="shared" si="267"/>
        <v>0</v>
      </c>
      <c r="X98" s="54">
        <f t="shared" si="253"/>
        <v>0</v>
      </c>
      <c r="Y98" s="54">
        <f t="shared" si="254"/>
        <v>0</v>
      </c>
      <c r="Z98" s="55">
        <f t="shared" si="268"/>
        <v>0</v>
      </c>
      <c r="AA98" s="55">
        <f t="shared" si="269"/>
        <v>0</v>
      </c>
      <c r="AB98" s="53">
        <f>D98*mmater*Parámetros!$G85*$X$5+AB97*(1+i_noc)</f>
        <v>0</v>
      </c>
      <c r="AC98" s="53">
        <f>E98*12*Parámetros!$F85*$X$5+AC97*(1+i_noc)</f>
        <v>832806.62762177398</v>
      </c>
      <c r="AD98" s="53"/>
      <c r="AE98" s="53"/>
      <c r="AF98" s="175"/>
      <c r="AG98" s="74">
        <f t="shared" si="250"/>
        <v>0</v>
      </c>
      <c r="AH98" s="52">
        <f t="shared" si="251"/>
        <v>0</v>
      </c>
      <c r="AI98" s="56">
        <f t="shared" si="257"/>
        <v>0</v>
      </c>
      <c r="AJ98" s="56">
        <f t="shared" si="258"/>
        <v>0</v>
      </c>
      <c r="AK98" s="56"/>
      <c r="AL98" s="56"/>
      <c r="AM98" s="56"/>
      <c r="AN98" s="56"/>
      <c r="AO98" s="56">
        <f t="shared" si="259"/>
        <v>0</v>
      </c>
      <c r="AP98" s="56">
        <f t="shared" si="260"/>
        <v>0</v>
      </c>
      <c r="AQ98" s="53">
        <f t="shared" si="261"/>
        <v>0</v>
      </c>
      <c r="AR98" s="53">
        <f t="shared" si="262"/>
        <v>0</v>
      </c>
      <c r="AS98" s="39"/>
      <c r="AT98" s="68">
        <f t="shared" si="263"/>
        <v>0</v>
      </c>
      <c r="AU98" s="68">
        <f t="shared" si="264"/>
        <v>0</v>
      </c>
      <c r="AV98" s="68">
        <f t="shared" si="265"/>
        <v>0</v>
      </c>
      <c r="AW98" s="68">
        <f t="shared" si="252"/>
        <v>0</v>
      </c>
      <c r="AX98" s="39"/>
      <c r="AY98" s="39"/>
    </row>
    <row r="99" spans="1:52" x14ac:dyDescent="0.25">
      <c r="A99" s="30">
        <v>2064</v>
      </c>
      <c r="B99" s="33">
        <f>w_uf*UF*Parámetros!C86</f>
        <v>1413512.7385988289</v>
      </c>
      <c r="C99" s="30">
        <f t="shared" si="247"/>
        <v>85</v>
      </c>
      <c r="D99" s="30">
        <f>((A99=Inputs!$C$12)*(Inputs!$D$12) + (A99=Inputs!$C$13)*(Inputs!$D$13) + (A99=Inputs!$C$14)*(Inputs!$D$14)) *(A99 &gt;= a_afil)*(A99&gt;=2024)</f>
        <v>0</v>
      </c>
      <c r="E99" s="30">
        <f>MIN(1,(A99=Inputs!$C$19)*Inputs!$D$19+(A99=Inputs!$C$20)*Inputs!$D$20+(A99=Inputs!$C$21)*Inputs!$D$21*(A99 &gt;= a_afil))</f>
        <v>0</v>
      </c>
      <c r="F99" s="30">
        <f t="shared" si="248"/>
        <v>0</v>
      </c>
      <c r="G99" s="30">
        <f t="shared" si="249"/>
        <v>0</v>
      </c>
      <c r="H99" s="30">
        <v>0.2761232852935791</v>
      </c>
      <c r="I99" s="37">
        <f t="shared" si="255"/>
        <v>0</v>
      </c>
      <c r="J99" s="37">
        <f t="shared" si="256"/>
        <v>0</v>
      </c>
      <c r="K99" s="30">
        <f>1*OR(Inputs!$D$17=$A99,Inputs!$E$17=$A99)*($E99=0)*(F99=1)</f>
        <v>0</v>
      </c>
      <c r="L99" s="30">
        <f>1*OR(Inputs!$D$17=$A99,Inputs!$E$17=$A99)*($E99=0)*(G99=1)</f>
        <v>0</v>
      </c>
      <c r="M99" s="73">
        <f t="shared" si="245"/>
        <v>0</v>
      </c>
      <c r="N99" s="73">
        <f t="shared" si="246"/>
        <v>0</v>
      </c>
      <c r="O99" s="55">
        <f>Parámetros!$E86*12*I99*$P$14</f>
        <v>0</v>
      </c>
      <c r="P99" s="55">
        <f>Parámetros!$E86*12*J99*$P$14</f>
        <v>0</v>
      </c>
      <c r="Q99" s="70">
        <f t="shared" si="225"/>
        <v>0</v>
      </c>
      <c r="R99" s="70">
        <f t="shared" si="226"/>
        <v>0</v>
      </c>
      <c r="S99" s="68">
        <f t="shared" si="270"/>
        <v>0</v>
      </c>
      <c r="T99" s="68">
        <f t="shared" si="271"/>
        <v>0</v>
      </c>
      <c r="U99" s="177"/>
      <c r="V99" s="68">
        <f t="shared" si="266"/>
        <v>0</v>
      </c>
      <c r="W99" s="68">
        <f t="shared" si="267"/>
        <v>0</v>
      </c>
      <c r="X99" s="54">
        <f t="shared" si="253"/>
        <v>0</v>
      </c>
      <c r="Y99" s="54">
        <f t="shared" si="254"/>
        <v>0</v>
      </c>
      <c r="Z99" s="55">
        <f t="shared" si="268"/>
        <v>0</v>
      </c>
      <c r="AA99" s="55">
        <f t="shared" si="269"/>
        <v>0</v>
      </c>
      <c r="AB99" s="53">
        <f>D99*mmater*Parámetros!$G86*$X$5+AB98*(1+i_noc)</f>
        <v>0</v>
      </c>
      <c r="AC99" s="53">
        <f>E99*12*Parámetros!$F86*$X$5+AC98*(1+i_noc)</f>
        <v>849462.76017420948</v>
      </c>
      <c r="AD99" s="53"/>
      <c r="AE99" s="53"/>
      <c r="AF99" s="175"/>
      <c r="AG99" s="74">
        <f t="shared" si="250"/>
        <v>0</v>
      </c>
      <c r="AH99" s="52">
        <f t="shared" si="251"/>
        <v>0</v>
      </c>
      <c r="AI99" s="56">
        <f t="shared" si="257"/>
        <v>0</v>
      </c>
      <c r="AJ99" s="56">
        <f t="shared" si="258"/>
        <v>0</v>
      </c>
      <c r="AK99" s="56"/>
      <c r="AL99" s="56"/>
      <c r="AM99" s="56"/>
      <c r="AN99" s="56"/>
      <c r="AO99" s="56">
        <f t="shared" si="259"/>
        <v>0</v>
      </c>
      <c r="AP99" s="56">
        <f t="shared" si="260"/>
        <v>0</v>
      </c>
      <c r="AQ99" s="53">
        <f t="shared" si="261"/>
        <v>0</v>
      </c>
      <c r="AR99" s="53">
        <f t="shared" si="262"/>
        <v>0</v>
      </c>
      <c r="AS99" s="39"/>
      <c r="AT99" s="68">
        <f t="shared" si="263"/>
        <v>0</v>
      </c>
      <c r="AU99" s="68">
        <f t="shared" si="264"/>
        <v>0</v>
      </c>
      <c r="AV99" s="68">
        <f t="shared" si="265"/>
        <v>0</v>
      </c>
      <c r="AW99" s="68">
        <f t="shared" si="252"/>
        <v>0</v>
      </c>
      <c r="AX99" s="39"/>
      <c r="AY99" s="39"/>
    </row>
    <row r="100" spans="1:52" x14ac:dyDescent="0.25">
      <c r="A100" s="30">
        <v>2065</v>
      </c>
      <c r="B100" s="33">
        <f>w_uf*UF*Parámetros!C87</f>
        <v>1431181.647831314</v>
      </c>
      <c r="C100" s="30">
        <f t="shared" si="247"/>
        <v>86</v>
      </c>
      <c r="D100" s="30">
        <f>((A100=Inputs!$C$12)*(Inputs!$D$12) + (A100=Inputs!$C$13)*(Inputs!$D$13) + (A100=Inputs!$C$14)*(Inputs!$D$14)) *(A100 &gt;= a_afil)*(A100&gt;=2024)</f>
        <v>0</v>
      </c>
      <c r="E100" s="30">
        <f>MIN(1,(A100=Inputs!$C$19)*Inputs!$D$19+(A100=Inputs!$C$20)*Inputs!$D$20+(A100=Inputs!$C$21)*Inputs!$D$21*(A100 &gt;= a_afil))</f>
        <v>0</v>
      </c>
      <c r="F100" s="30">
        <f t="shared" si="248"/>
        <v>0</v>
      </c>
      <c r="G100" s="30">
        <f t="shared" si="249"/>
        <v>0</v>
      </c>
      <c r="H100" s="30">
        <v>0.6430467963218689</v>
      </c>
      <c r="I100" s="37">
        <f t="shared" si="255"/>
        <v>0</v>
      </c>
      <c r="J100" s="37">
        <f t="shared" si="256"/>
        <v>0</v>
      </c>
      <c r="K100" s="30">
        <f>1*OR(Inputs!$D$17=$A100,Inputs!$E$17=$A100)*($E100=0)*(F100=1)</f>
        <v>0</v>
      </c>
      <c r="L100" s="30">
        <f>1*OR(Inputs!$D$17=$A100,Inputs!$E$17=$A100)*($E100=0)*(G100=1)</f>
        <v>0</v>
      </c>
      <c r="M100" s="73">
        <f t="shared" si="245"/>
        <v>0</v>
      </c>
      <c r="N100" s="73">
        <f t="shared" si="246"/>
        <v>0</v>
      </c>
      <c r="O100" s="55">
        <f>Parámetros!$E87*12*I100*$P$14</f>
        <v>0</v>
      </c>
      <c r="P100" s="55">
        <f>Parámetros!$E87*12*J100*$P$14</f>
        <v>0</v>
      </c>
      <c r="Q100" s="70">
        <f t="shared" si="225"/>
        <v>0</v>
      </c>
      <c r="R100" s="70">
        <f t="shared" si="226"/>
        <v>0</v>
      </c>
      <c r="S100" s="68">
        <f t="shared" si="270"/>
        <v>0</v>
      </c>
      <c r="T100" s="68">
        <f t="shared" si="271"/>
        <v>0</v>
      </c>
      <c r="U100" s="177"/>
      <c r="V100" s="68">
        <f t="shared" si="266"/>
        <v>0</v>
      </c>
      <c r="W100" s="68">
        <f t="shared" si="267"/>
        <v>0</v>
      </c>
      <c r="X100" s="54">
        <f t="shared" si="253"/>
        <v>0</v>
      </c>
      <c r="Y100" s="54">
        <f t="shared" si="254"/>
        <v>0</v>
      </c>
      <c r="Z100" s="55">
        <f t="shared" si="268"/>
        <v>0</v>
      </c>
      <c r="AA100" s="55">
        <f t="shared" si="269"/>
        <v>0</v>
      </c>
      <c r="AB100" s="53">
        <f>D100*mmater*Parámetros!$G87*$X$5+AB99*(1+i_noc)</f>
        <v>0</v>
      </c>
      <c r="AC100" s="53">
        <f>E100*12*Parámetros!$F87*$X$5+AC99*(1+i_noc)</f>
        <v>866452.01537769369</v>
      </c>
      <c r="AD100" s="53"/>
      <c r="AE100" s="53"/>
      <c r="AF100" s="175"/>
      <c r="AG100" s="74">
        <f t="shared" si="250"/>
        <v>0</v>
      </c>
      <c r="AH100" s="52">
        <f t="shared" si="251"/>
        <v>0</v>
      </c>
      <c r="AI100" s="56">
        <f t="shared" si="257"/>
        <v>0</v>
      </c>
      <c r="AJ100" s="56">
        <f t="shared" si="258"/>
        <v>0</v>
      </c>
      <c r="AK100" s="56"/>
      <c r="AL100" s="56"/>
      <c r="AM100" s="56"/>
      <c r="AN100" s="56"/>
      <c r="AO100" s="56">
        <f t="shared" si="259"/>
        <v>0</v>
      </c>
      <c r="AP100" s="56">
        <f t="shared" si="260"/>
        <v>0</v>
      </c>
      <c r="AQ100" s="53">
        <f t="shared" si="261"/>
        <v>0</v>
      </c>
      <c r="AR100" s="53">
        <f t="shared" si="262"/>
        <v>0</v>
      </c>
      <c r="AS100" s="39"/>
      <c r="AT100" s="68">
        <f t="shared" si="263"/>
        <v>0</v>
      </c>
      <c r="AU100" s="68">
        <f t="shared" si="264"/>
        <v>0</v>
      </c>
      <c r="AV100" s="68">
        <f t="shared" si="265"/>
        <v>0</v>
      </c>
      <c r="AW100" s="68">
        <f t="shared" si="252"/>
        <v>0</v>
      </c>
      <c r="AX100" s="39"/>
      <c r="AY100" s="173"/>
      <c r="AZ100" s="173"/>
    </row>
    <row r="101" spans="1:52" x14ac:dyDescent="0.25">
      <c r="A101" s="30">
        <v>2066</v>
      </c>
      <c r="B101" s="33">
        <f>w_uf*UF*Parámetros!C88</f>
        <v>1449071.4184292057</v>
      </c>
      <c r="C101" s="30">
        <f t="shared" si="247"/>
        <v>87</v>
      </c>
      <c r="D101" s="30">
        <f>((A101=Inputs!$C$12)*(Inputs!$D$12) + (A101=Inputs!$C$13)*(Inputs!$D$13) + (A101=Inputs!$C$14)*(Inputs!$D$14)) *(A101 &gt;= a_afil)*(A101&gt;=2024)</f>
        <v>0</v>
      </c>
      <c r="E101" s="30">
        <f>MIN(1,(A101=Inputs!$C$19)*Inputs!$D$19+(A101=Inputs!$C$20)*Inputs!$D$20+(A101=Inputs!$C$21)*Inputs!$D$21*(A101 &gt;= a_afil))</f>
        <v>0</v>
      </c>
      <c r="F101" s="30">
        <f t="shared" si="248"/>
        <v>0</v>
      </c>
      <c r="G101" s="30">
        <f t="shared" si="249"/>
        <v>0</v>
      </c>
      <c r="H101" s="30">
        <v>0.84909999370574951</v>
      </c>
      <c r="I101" s="37">
        <f t="shared" si="255"/>
        <v>0</v>
      </c>
      <c r="J101" s="37">
        <f t="shared" si="256"/>
        <v>0</v>
      </c>
      <c r="K101" s="30">
        <f>1*OR(Inputs!$D$17=$A101,Inputs!$E$17=$A101)*($E101=0)*(F101=1)</f>
        <v>0</v>
      </c>
      <c r="L101" s="30">
        <f>1*OR(Inputs!$D$17=$A101,Inputs!$E$17=$A101)*($E101=0)*(G101=1)</f>
        <v>0</v>
      </c>
      <c r="M101" s="73">
        <f t="shared" si="245"/>
        <v>0</v>
      </c>
      <c r="N101" s="73">
        <f t="shared" si="246"/>
        <v>0</v>
      </c>
      <c r="O101" s="55">
        <f>Parámetros!$E88*12*I101*$P$14</f>
        <v>0</v>
      </c>
      <c r="P101" s="55">
        <f>Parámetros!$E88*12*J101*$P$14</f>
        <v>0</v>
      </c>
      <c r="Q101" s="70">
        <f t="shared" si="225"/>
        <v>0</v>
      </c>
      <c r="R101" s="70">
        <f t="shared" si="226"/>
        <v>0</v>
      </c>
      <c r="S101" s="68">
        <f t="shared" si="270"/>
        <v>0</v>
      </c>
      <c r="T101" s="68">
        <f t="shared" si="271"/>
        <v>0</v>
      </c>
      <c r="U101" s="177"/>
      <c r="V101" s="68">
        <f t="shared" si="266"/>
        <v>0</v>
      </c>
      <c r="W101" s="68">
        <f t="shared" si="267"/>
        <v>0</v>
      </c>
      <c r="X101" s="54">
        <f t="shared" si="253"/>
        <v>0</v>
      </c>
      <c r="Y101" s="54">
        <f t="shared" si="254"/>
        <v>0</v>
      </c>
      <c r="Z101" s="55">
        <f t="shared" si="268"/>
        <v>0</v>
      </c>
      <c r="AA101" s="55">
        <f t="shared" si="269"/>
        <v>0</v>
      </c>
      <c r="AB101" s="53">
        <f>D101*mmater*Parámetros!$G88*$X$5+AB100*(1+i_noc)</f>
        <v>0</v>
      </c>
      <c r="AC101" s="53">
        <f>E101*12*Parámetros!$F88*$X$5+AC100*(1+i_noc)</f>
        <v>883781.05568524753</v>
      </c>
      <c r="AD101" s="53"/>
      <c r="AE101" s="53"/>
      <c r="AF101" s="175"/>
      <c r="AG101" s="74">
        <f t="shared" si="250"/>
        <v>0</v>
      </c>
      <c r="AH101" s="52">
        <f t="shared" si="251"/>
        <v>0</v>
      </c>
      <c r="AI101" s="56">
        <f t="shared" si="257"/>
        <v>0</v>
      </c>
      <c r="AJ101" s="56">
        <f t="shared" si="258"/>
        <v>0</v>
      </c>
      <c r="AK101" s="56"/>
      <c r="AL101" s="56"/>
      <c r="AM101" s="56"/>
      <c r="AN101" s="56"/>
      <c r="AO101" s="56">
        <f t="shared" si="259"/>
        <v>0</v>
      </c>
      <c r="AP101" s="56">
        <f t="shared" si="260"/>
        <v>0</v>
      </c>
      <c r="AQ101" s="53">
        <f t="shared" si="261"/>
        <v>0</v>
      </c>
      <c r="AR101" s="53">
        <f t="shared" si="262"/>
        <v>0</v>
      </c>
      <c r="AS101" s="39"/>
      <c r="AT101" s="68">
        <f t="shared" si="263"/>
        <v>0</v>
      </c>
      <c r="AU101" s="68">
        <f t="shared" si="264"/>
        <v>0</v>
      </c>
      <c r="AV101" s="68">
        <f t="shared" si="265"/>
        <v>0</v>
      </c>
      <c r="AW101" s="68">
        <f t="shared" si="252"/>
        <v>0</v>
      </c>
      <c r="AX101" s="39"/>
      <c r="AY101" s="39"/>
      <c r="AZ101" s="173"/>
    </row>
    <row r="102" spans="1:52" x14ac:dyDescent="0.25">
      <c r="A102" s="30">
        <v>2067</v>
      </c>
      <c r="B102" s="33">
        <f>w_uf*UF*Parámetros!C89</f>
        <v>1467184.8111595705</v>
      </c>
      <c r="C102" s="30">
        <f t="shared" si="247"/>
        <v>88</v>
      </c>
      <c r="D102" s="30">
        <f>((A102=Inputs!$C$12)*(Inputs!$D$12) + (A102=Inputs!$C$13)*(Inputs!$D$13) + (A102=Inputs!$C$14)*(Inputs!$D$14)) *(A102 &gt;= a_afil)*(A102&gt;=2024)</f>
        <v>0</v>
      </c>
      <c r="E102" s="30">
        <f>MIN(1,(A102=Inputs!$C$19)*Inputs!$D$19+(A102=Inputs!$C$20)*Inputs!$D$20+(A102=Inputs!$C$21)*Inputs!$D$21*(A102 &gt;= a_afil))</f>
        <v>0</v>
      </c>
      <c r="F102" s="30">
        <f t="shared" si="248"/>
        <v>0</v>
      </c>
      <c r="G102" s="30">
        <f t="shared" si="249"/>
        <v>0</v>
      </c>
      <c r="H102" s="30">
        <v>0.49796921014785767</v>
      </c>
      <c r="I102" s="37">
        <f t="shared" si="255"/>
        <v>0</v>
      </c>
      <c r="J102" s="37">
        <f t="shared" si="256"/>
        <v>0</v>
      </c>
      <c r="K102" s="30">
        <f>1*OR(Inputs!$D$17=$A102,Inputs!$E$17=$A102)*($E102=0)*(F102=1)</f>
        <v>0</v>
      </c>
      <c r="L102" s="30">
        <f>1*OR(Inputs!$D$17=$A102,Inputs!$E$17=$A102)*($E102=0)*(G102=1)</f>
        <v>0</v>
      </c>
      <c r="M102" s="73">
        <f t="shared" si="245"/>
        <v>0</v>
      </c>
      <c r="N102" s="73">
        <f t="shared" si="246"/>
        <v>0</v>
      </c>
      <c r="O102" s="55">
        <f>Parámetros!$E89*12*I102*$P$14</f>
        <v>0</v>
      </c>
      <c r="P102" s="55">
        <f>Parámetros!$E89*12*J102*$P$14</f>
        <v>0</v>
      </c>
      <c r="Q102" s="70">
        <f t="shared" si="225"/>
        <v>0</v>
      </c>
      <c r="R102" s="70">
        <f t="shared" si="226"/>
        <v>0</v>
      </c>
      <c r="S102" s="68">
        <f t="shared" si="270"/>
        <v>0</v>
      </c>
      <c r="T102" s="68">
        <f t="shared" si="271"/>
        <v>0</v>
      </c>
      <c r="U102" s="177"/>
      <c r="V102" s="68">
        <f t="shared" si="266"/>
        <v>0</v>
      </c>
      <c r="W102" s="68">
        <f t="shared" si="267"/>
        <v>0</v>
      </c>
      <c r="X102" s="54">
        <f t="shared" si="253"/>
        <v>0</v>
      </c>
      <c r="Y102" s="54">
        <f t="shared" si="254"/>
        <v>0</v>
      </c>
      <c r="Z102" s="55">
        <f t="shared" si="268"/>
        <v>0</v>
      </c>
      <c r="AA102" s="55">
        <f t="shared" si="269"/>
        <v>0</v>
      </c>
      <c r="AB102" s="53">
        <f>D102*mmater*Parámetros!$G89*$X$5+AB101*(1+i_noc)</f>
        <v>0</v>
      </c>
      <c r="AC102" s="53">
        <f>E102*12*Parámetros!$F89*$X$5+AC101*(1+i_noc)</f>
        <v>901456.67679895251</v>
      </c>
      <c r="AD102" s="53"/>
      <c r="AE102" s="53"/>
      <c r="AF102" s="175"/>
      <c r="AG102" s="74">
        <f t="shared" si="250"/>
        <v>0</v>
      </c>
      <c r="AH102" s="52">
        <f t="shared" si="251"/>
        <v>0</v>
      </c>
      <c r="AI102" s="56">
        <f t="shared" si="257"/>
        <v>0</v>
      </c>
      <c r="AJ102" s="56">
        <f t="shared" si="258"/>
        <v>0</v>
      </c>
      <c r="AK102" s="56"/>
      <c r="AL102" s="56"/>
      <c r="AM102" s="56"/>
      <c r="AN102" s="56"/>
      <c r="AO102" s="56">
        <f t="shared" si="259"/>
        <v>0</v>
      </c>
      <c r="AP102" s="56">
        <f t="shared" si="260"/>
        <v>0</v>
      </c>
      <c r="AQ102" s="53">
        <f t="shared" si="261"/>
        <v>0</v>
      </c>
      <c r="AR102" s="53">
        <f t="shared" si="262"/>
        <v>0</v>
      </c>
      <c r="AS102" s="39"/>
      <c r="AT102" s="68">
        <f t="shared" si="263"/>
        <v>0</v>
      </c>
      <c r="AU102" s="68">
        <f t="shared" si="264"/>
        <v>0</v>
      </c>
      <c r="AV102" s="68">
        <f t="shared" si="265"/>
        <v>0</v>
      </c>
      <c r="AW102" s="68">
        <f t="shared" si="252"/>
        <v>0</v>
      </c>
      <c r="AX102" s="39"/>
      <c r="AY102" s="39"/>
    </row>
    <row r="103" spans="1:52" x14ac:dyDescent="0.25">
      <c r="A103" s="30">
        <v>2068</v>
      </c>
      <c r="B103" s="33">
        <f>w_uf*UF*Parámetros!C90</f>
        <v>1485524.621299065</v>
      </c>
      <c r="C103" s="30">
        <f t="shared" si="247"/>
        <v>89</v>
      </c>
      <c r="D103" s="30">
        <f>((A103=Inputs!$C$12)*(Inputs!$D$12) + (A103=Inputs!$C$13)*(Inputs!$D$13) + (A103=Inputs!$C$14)*(Inputs!$D$14)) *(A103 &gt;= a_afil)*(A103&gt;=2024)</f>
        <v>0</v>
      </c>
      <c r="E103" s="30">
        <f>MIN(1,(A103=Inputs!$C$19)*Inputs!$D$19+(A103=Inputs!$C$20)*Inputs!$D$20+(A103=Inputs!$C$21)*Inputs!$D$21*(A103 &gt;= a_afil))</f>
        <v>0</v>
      </c>
      <c r="F103" s="30">
        <f t="shared" si="248"/>
        <v>0</v>
      </c>
      <c r="G103" s="30">
        <f t="shared" si="249"/>
        <v>0</v>
      </c>
      <c r="H103" s="30">
        <v>0.1877751350402832</v>
      </c>
      <c r="I103" s="37">
        <f t="shared" si="255"/>
        <v>0</v>
      </c>
      <c r="J103" s="37">
        <f t="shared" si="256"/>
        <v>0</v>
      </c>
      <c r="K103" s="30">
        <f>1*OR(Inputs!$D$17=$A103,Inputs!$E$17=$A103)*($E103=0)*(F103=1)</f>
        <v>0</v>
      </c>
      <c r="L103" s="30">
        <f>1*OR(Inputs!$D$17=$A103,Inputs!$E$17=$A103)*($E103=0)*(G103=1)</f>
        <v>0</v>
      </c>
      <c r="M103" s="73">
        <f t="shared" si="245"/>
        <v>0</v>
      </c>
      <c r="N103" s="73">
        <f t="shared" si="246"/>
        <v>0</v>
      </c>
      <c r="O103" s="55">
        <f>Parámetros!$E90*12*I103*$P$14</f>
        <v>0</v>
      </c>
      <c r="P103" s="55">
        <f>Parámetros!$E90*12*J103*$P$14</f>
        <v>0</v>
      </c>
      <c r="Q103" s="70">
        <f t="shared" si="225"/>
        <v>0</v>
      </c>
      <c r="R103" s="70">
        <f t="shared" si="226"/>
        <v>0</v>
      </c>
      <c r="S103" s="68">
        <f t="shared" si="270"/>
        <v>0</v>
      </c>
      <c r="T103" s="68">
        <f t="shared" si="271"/>
        <v>0</v>
      </c>
      <c r="U103" s="177"/>
      <c r="V103" s="68">
        <f t="shared" si="266"/>
        <v>0</v>
      </c>
      <c r="W103" s="68">
        <f t="shared" si="267"/>
        <v>0</v>
      </c>
      <c r="X103" s="54">
        <f t="shared" si="253"/>
        <v>0</v>
      </c>
      <c r="Y103" s="54">
        <f t="shared" si="254"/>
        <v>0</v>
      </c>
      <c r="Z103" s="55">
        <f t="shared" si="268"/>
        <v>0</v>
      </c>
      <c r="AA103" s="55">
        <f t="shared" si="269"/>
        <v>0</v>
      </c>
      <c r="AB103" s="53">
        <f>D103*mmater*Parámetros!$G90*$X$5+AB102*(1+i_noc)</f>
        <v>0</v>
      </c>
      <c r="AC103" s="53">
        <f>E103*12*Parámetros!$F90*$X$5+AC102*(1+i_noc)</f>
        <v>919485.81033493159</v>
      </c>
      <c r="AD103" s="53"/>
      <c r="AE103" s="53"/>
      <c r="AF103" s="175"/>
      <c r="AG103" s="74">
        <f t="shared" si="250"/>
        <v>0</v>
      </c>
      <c r="AH103" s="52">
        <f t="shared" si="251"/>
        <v>0</v>
      </c>
      <c r="AI103" s="56">
        <f t="shared" si="257"/>
        <v>0</v>
      </c>
      <c r="AJ103" s="56">
        <f t="shared" si="258"/>
        <v>0</v>
      </c>
      <c r="AK103" s="56"/>
      <c r="AL103" s="56"/>
      <c r="AM103" s="56"/>
      <c r="AN103" s="56"/>
      <c r="AO103" s="56">
        <f t="shared" si="259"/>
        <v>0</v>
      </c>
      <c r="AP103" s="56">
        <f t="shared" si="260"/>
        <v>0</v>
      </c>
      <c r="AQ103" s="53">
        <f t="shared" si="261"/>
        <v>0</v>
      </c>
      <c r="AR103" s="53">
        <f t="shared" si="262"/>
        <v>0</v>
      </c>
      <c r="AS103" s="39"/>
      <c r="AT103" s="68">
        <f t="shared" si="263"/>
        <v>0</v>
      </c>
      <c r="AU103" s="68">
        <f t="shared" si="264"/>
        <v>0</v>
      </c>
      <c r="AV103" s="68">
        <f t="shared" si="265"/>
        <v>0</v>
      </c>
      <c r="AW103" s="68">
        <f t="shared" si="252"/>
        <v>0</v>
      </c>
      <c r="AX103" s="39"/>
      <c r="AY103" s="39"/>
    </row>
    <row r="104" spans="1:52" x14ac:dyDescent="0.25">
      <c r="A104" s="30">
        <v>2069</v>
      </c>
      <c r="B104" s="33">
        <f>w_uf*UF*Parámetros!C91</f>
        <v>1504093.6790653034</v>
      </c>
      <c r="C104" s="30">
        <f t="shared" si="247"/>
        <v>90</v>
      </c>
      <c r="D104" s="30">
        <f>((A104=Inputs!$C$12)*(Inputs!$D$12) + (A104=Inputs!$C$13)*(Inputs!$D$13) + (A104=Inputs!$C$14)*(Inputs!$D$14)) *(A104 &gt;= a_afil)*(A104&gt;=2024)</f>
        <v>0</v>
      </c>
      <c r="E104" s="30">
        <f>MIN(1,(A104=Inputs!$C$19)*Inputs!$D$19+(A104=Inputs!$C$20)*Inputs!$D$20+(A104=Inputs!$C$21)*Inputs!$D$21*(A104 &gt;= a_afil))</f>
        <v>0</v>
      </c>
      <c r="F104" s="30">
        <f t="shared" si="248"/>
        <v>0</v>
      </c>
      <c r="G104" s="30">
        <f t="shared" si="249"/>
        <v>0</v>
      </c>
      <c r="H104" s="30">
        <v>0.89661663770675659</v>
      </c>
      <c r="I104" s="37">
        <f t="shared" si="255"/>
        <v>0</v>
      </c>
      <c r="J104" s="37">
        <f t="shared" si="256"/>
        <v>0</v>
      </c>
      <c r="K104" s="30">
        <f>1*OR(Inputs!$D$17=$A104,Inputs!$E$17=$A104)*($E104=0)*(F104=1)</f>
        <v>0</v>
      </c>
      <c r="L104" s="30">
        <f>1*OR(Inputs!$D$17=$A104,Inputs!$E$17=$A104)*($E104=0)*(G104=1)</f>
        <v>0</v>
      </c>
      <c r="M104" s="73">
        <f t="shared" si="245"/>
        <v>0</v>
      </c>
      <c r="N104" s="73">
        <f t="shared" si="246"/>
        <v>0</v>
      </c>
      <c r="O104" s="55">
        <f>Parámetros!$E91*12*I104*$P$14</f>
        <v>0</v>
      </c>
      <c r="P104" s="55">
        <f>Parámetros!$E91*12*J104*$P$14</f>
        <v>0</v>
      </c>
      <c r="Q104" s="70">
        <f t="shared" si="225"/>
        <v>0</v>
      </c>
      <c r="R104" s="70">
        <f t="shared" si="226"/>
        <v>0</v>
      </c>
      <c r="S104" s="68">
        <f t="shared" si="270"/>
        <v>0</v>
      </c>
      <c r="T104" s="68">
        <f t="shared" si="271"/>
        <v>0</v>
      </c>
      <c r="U104" s="177"/>
      <c r="V104" s="68">
        <f t="shared" si="266"/>
        <v>0</v>
      </c>
      <c r="W104" s="68">
        <f t="shared" si="267"/>
        <v>0</v>
      </c>
      <c r="X104" s="54">
        <f t="shared" si="253"/>
        <v>0</v>
      </c>
      <c r="Y104" s="54">
        <f t="shared" si="254"/>
        <v>0</v>
      </c>
      <c r="Z104" s="55">
        <f t="shared" si="268"/>
        <v>0</v>
      </c>
      <c r="AA104" s="55">
        <f t="shared" si="269"/>
        <v>0</v>
      </c>
      <c r="AB104" s="53">
        <f>D104*mmater*Parámetros!$G91*$X$5+AB103*(1+i_noc)</f>
        <v>0</v>
      </c>
      <c r="AC104" s="53">
        <f>E104*12*Parámetros!$F91*$X$5+AC103*(1+i_noc)</f>
        <v>937875.52654163027</v>
      </c>
      <c r="AD104" s="53"/>
      <c r="AE104" s="53"/>
      <c r="AF104" s="175"/>
      <c r="AG104" s="74">
        <f t="shared" si="250"/>
        <v>0</v>
      </c>
      <c r="AH104" s="52">
        <f t="shared" si="251"/>
        <v>0</v>
      </c>
      <c r="AI104" s="56">
        <f t="shared" si="257"/>
        <v>0</v>
      </c>
      <c r="AJ104" s="56">
        <f t="shared" si="258"/>
        <v>0</v>
      </c>
      <c r="AK104" s="56"/>
      <c r="AL104" s="56"/>
      <c r="AM104" s="56"/>
      <c r="AN104" s="56"/>
      <c r="AO104" s="56">
        <f t="shared" si="259"/>
        <v>0</v>
      </c>
      <c r="AP104" s="56">
        <f t="shared" si="260"/>
        <v>0</v>
      </c>
      <c r="AQ104" s="53">
        <f t="shared" si="261"/>
        <v>0</v>
      </c>
      <c r="AR104" s="53">
        <f t="shared" si="262"/>
        <v>0</v>
      </c>
      <c r="AS104" s="39"/>
      <c r="AT104" s="68">
        <f t="shared" si="263"/>
        <v>0</v>
      </c>
      <c r="AU104" s="68">
        <f t="shared" si="264"/>
        <v>0</v>
      </c>
      <c r="AV104" s="68">
        <f t="shared" si="265"/>
        <v>0</v>
      </c>
      <c r="AW104" s="68">
        <f t="shared" si="252"/>
        <v>0</v>
      </c>
      <c r="AX104" s="39"/>
      <c r="AY104" s="39"/>
    </row>
    <row r="105" spans="1:52" x14ac:dyDescent="0.25">
      <c r="A105" s="30">
        <v>2070</v>
      </c>
      <c r="B105" s="33">
        <f>w_uf*UF*Parámetros!C92</f>
        <v>1522894.8500536196</v>
      </c>
      <c r="C105" s="30">
        <f t="shared" si="247"/>
        <v>91</v>
      </c>
      <c r="D105" s="30">
        <f>((A105=Inputs!$C$12)*(Inputs!$D$12) + (A105=Inputs!$C$13)*(Inputs!$D$13) + (A105=Inputs!$C$14)*(Inputs!$D$14)) *(A105 &gt;= a_afil)*(A105&gt;=2024)</f>
        <v>0</v>
      </c>
      <c r="E105" s="30">
        <f>MIN(1,(A105=Inputs!$C$19)*Inputs!$D$19+(A105=Inputs!$C$20)*Inputs!$D$20+(A105=Inputs!$C$21)*Inputs!$D$21*(A105 &gt;= a_afil))</f>
        <v>0</v>
      </c>
      <c r="F105" s="30">
        <f t="shared" si="248"/>
        <v>0</v>
      </c>
      <c r="G105" s="30">
        <f t="shared" si="249"/>
        <v>0</v>
      </c>
      <c r="H105" s="30">
        <v>0.37281429767608643</v>
      </c>
      <c r="I105" s="37">
        <f t="shared" si="255"/>
        <v>0</v>
      </c>
      <c r="J105" s="37">
        <f t="shared" si="256"/>
        <v>0</v>
      </c>
      <c r="K105" s="30">
        <f>1*OR(Inputs!$D$17=$A105,Inputs!$E$17=$A105)*($E105=0)*(F105=1)</f>
        <v>0</v>
      </c>
      <c r="L105" s="30">
        <f>1*OR(Inputs!$D$17=$A105,Inputs!$E$17=$A105)*($E105=0)*(G105=1)</f>
        <v>0</v>
      </c>
      <c r="M105" s="73">
        <f t="shared" si="245"/>
        <v>0</v>
      </c>
      <c r="N105" s="73">
        <f t="shared" si="246"/>
        <v>0</v>
      </c>
      <c r="O105" s="55">
        <f>Parámetros!$E92*12*I105*$P$14</f>
        <v>0</v>
      </c>
      <c r="P105" s="55">
        <f>Parámetros!$E92*12*J105*$P$14</f>
        <v>0</v>
      </c>
      <c r="Q105" s="70">
        <f t="shared" si="225"/>
        <v>0</v>
      </c>
      <c r="R105" s="70">
        <f t="shared" si="226"/>
        <v>0</v>
      </c>
      <c r="S105" s="68">
        <f t="shared" si="270"/>
        <v>0</v>
      </c>
      <c r="T105" s="68">
        <f t="shared" si="271"/>
        <v>0</v>
      </c>
      <c r="U105" s="177"/>
      <c r="V105" s="68">
        <f t="shared" si="266"/>
        <v>0</v>
      </c>
      <c r="W105" s="68">
        <f t="shared" si="267"/>
        <v>0</v>
      </c>
      <c r="X105" s="54">
        <f t="shared" si="253"/>
        <v>0</v>
      </c>
      <c r="Y105" s="54">
        <f t="shared" si="254"/>
        <v>0</v>
      </c>
      <c r="Z105" s="55">
        <f t="shared" si="268"/>
        <v>0</v>
      </c>
      <c r="AA105" s="55">
        <f t="shared" si="269"/>
        <v>0</v>
      </c>
      <c r="AB105" s="53">
        <f>D105*mmater*Parámetros!$G92*$X$5+AB104*(1+i_noc)</f>
        <v>0</v>
      </c>
      <c r="AC105" s="53">
        <f>E105*12*Parámetros!$F92*$X$5+AC104*(1+i_noc)</f>
        <v>956633.03707246284</v>
      </c>
      <c r="AD105" s="53"/>
      <c r="AE105" s="53"/>
      <c r="AF105" s="175"/>
      <c r="AG105" s="74">
        <f t="shared" si="250"/>
        <v>0</v>
      </c>
      <c r="AH105" s="52">
        <f t="shared" si="251"/>
        <v>0</v>
      </c>
      <c r="AI105" s="56">
        <f t="shared" si="257"/>
        <v>0</v>
      </c>
      <c r="AJ105" s="56">
        <f t="shared" si="258"/>
        <v>0</v>
      </c>
      <c r="AK105" s="56"/>
      <c r="AL105" s="56"/>
      <c r="AM105" s="56"/>
      <c r="AN105" s="56"/>
      <c r="AO105" s="56">
        <f t="shared" si="259"/>
        <v>0</v>
      </c>
      <c r="AP105" s="56">
        <f t="shared" si="260"/>
        <v>0</v>
      </c>
      <c r="AQ105" s="53">
        <f t="shared" si="261"/>
        <v>0</v>
      </c>
      <c r="AR105" s="53">
        <f t="shared" si="262"/>
        <v>0</v>
      </c>
      <c r="AS105" s="39"/>
      <c r="AT105" s="68">
        <f t="shared" si="263"/>
        <v>0</v>
      </c>
      <c r="AU105" s="68">
        <f t="shared" si="264"/>
        <v>0</v>
      </c>
      <c r="AV105" s="68">
        <f t="shared" si="265"/>
        <v>0</v>
      </c>
      <c r="AW105" s="68">
        <f t="shared" si="252"/>
        <v>0</v>
      </c>
      <c r="AX105" s="39"/>
      <c r="AY105" s="39"/>
      <c r="AZ105" s="173"/>
    </row>
    <row r="106" spans="1:52" x14ac:dyDescent="0.25">
      <c r="A106" s="30">
        <v>2071</v>
      </c>
      <c r="B106" s="33">
        <f>w_uf*UF*Parámetros!C93</f>
        <v>1541931.0356792898</v>
      </c>
      <c r="C106" s="30">
        <f t="shared" si="247"/>
        <v>92</v>
      </c>
      <c r="D106" s="30">
        <f>((A106=Inputs!$C$12)*(Inputs!$D$12) + (A106=Inputs!$C$13)*(Inputs!$D$13) + (A106=Inputs!$C$14)*(Inputs!$D$14)) *(A106 &gt;= a_afil)*(A106&gt;=2024)</f>
        <v>0</v>
      </c>
      <c r="E106" s="30">
        <f>MIN(1,(A106=Inputs!$C$19)*Inputs!$D$19+(A106=Inputs!$C$20)*Inputs!$D$20+(A106=Inputs!$C$21)*Inputs!$D$21*(A106 &gt;= a_afil))</f>
        <v>0</v>
      </c>
      <c r="F106" s="30">
        <f t="shared" si="248"/>
        <v>0</v>
      </c>
      <c r="G106" s="30">
        <f t="shared" si="249"/>
        <v>0</v>
      </c>
      <c r="H106" s="30">
        <v>0.32355481386184692</v>
      </c>
      <c r="I106" s="37">
        <f t="shared" si="255"/>
        <v>0</v>
      </c>
      <c r="J106" s="37">
        <f t="shared" si="256"/>
        <v>0</v>
      </c>
      <c r="K106" s="30">
        <f>1*OR(Inputs!$D$17=$A106,Inputs!$E$17=$A106)*($E106=0)*(F106=1)</f>
        <v>0</v>
      </c>
      <c r="L106" s="30">
        <f>1*OR(Inputs!$D$17=$A106,Inputs!$E$17=$A106)*($E106=0)*(G106=1)</f>
        <v>0</v>
      </c>
      <c r="M106" s="73">
        <f t="shared" si="245"/>
        <v>0</v>
      </c>
      <c r="N106" s="73">
        <f t="shared" si="246"/>
        <v>0</v>
      </c>
      <c r="O106" s="55">
        <f>Parámetros!$E93*12*I106*$P$14</f>
        <v>0</v>
      </c>
      <c r="P106" s="55">
        <f>Parámetros!$E93*12*J106*$P$14</f>
        <v>0</v>
      </c>
      <c r="Q106" s="70">
        <f t="shared" si="225"/>
        <v>0</v>
      </c>
      <c r="R106" s="70">
        <f t="shared" si="226"/>
        <v>0</v>
      </c>
      <c r="S106" s="68">
        <f t="shared" si="270"/>
        <v>0</v>
      </c>
      <c r="T106" s="68">
        <f t="shared" si="271"/>
        <v>0</v>
      </c>
      <c r="U106" s="177"/>
      <c r="V106" s="68">
        <f t="shared" si="266"/>
        <v>0</v>
      </c>
      <c r="W106" s="68">
        <f t="shared" si="267"/>
        <v>0</v>
      </c>
      <c r="X106" s="54">
        <f t="shared" si="253"/>
        <v>0</v>
      </c>
      <c r="Y106" s="54">
        <f t="shared" si="254"/>
        <v>0</v>
      </c>
      <c r="Z106" s="55">
        <f t="shared" si="268"/>
        <v>0</v>
      </c>
      <c r="AA106" s="55">
        <f t="shared" si="269"/>
        <v>0</v>
      </c>
      <c r="AB106" s="53">
        <f>D106*mmater*Parámetros!$G93*$X$5+AB105*(1+i_noc)</f>
        <v>0</v>
      </c>
      <c r="AC106" s="53">
        <f>E106*12*Parámetros!$F93*$X$5+AC105*(1+i_noc)</f>
        <v>975765.69781391206</v>
      </c>
      <c r="AD106" s="53"/>
      <c r="AE106" s="53"/>
      <c r="AF106" s="175"/>
      <c r="AG106" s="74">
        <f t="shared" si="250"/>
        <v>0</v>
      </c>
      <c r="AH106" s="52">
        <f t="shared" si="251"/>
        <v>0</v>
      </c>
      <c r="AI106" s="56">
        <f t="shared" si="257"/>
        <v>0</v>
      </c>
      <c r="AJ106" s="56">
        <f t="shared" si="258"/>
        <v>0</v>
      </c>
      <c r="AK106" s="56"/>
      <c r="AL106" s="56"/>
      <c r="AM106" s="56"/>
      <c r="AN106" s="56"/>
      <c r="AO106" s="56">
        <f t="shared" si="259"/>
        <v>0</v>
      </c>
      <c r="AP106" s="56">
        <f t="shared" si="260"/>
        <v>0</v>
      </c>
      <c r="AQ106" s="53">
        <f t="shared" si="261"/>
        <v>0</v>
      </c>
      <c r="AR106" s="53">
        <f t="shared" si="262"/>
        <v>0</v>
      </c>
      <c r="AS106" s="39"/>
      <c r="AT106" s="68">
        <f t="shared" si="263"/>
        <v>0</v>
      </c>
      <c r="AU106" s="68">
        <f t="shared" si="264"/>
        <v>0</v>
      </c>
      <c r="AV106" s="68">
        <f t="shared" si="265"/>
        <v>0</v>
      </c>
      <c r="AW106" s="68">
        <f t="shared" si="252"/>
        <v>0</v>
      </c>
      <c r="AX106" s="39"/>
      <c r="AY106" s="39"/>
    </row>
    <row r="107" spans="1:52" x14ac:dyDescent="0.25">
      <c r="A107" s="30">
        <v>2072</v>
      </c>
      <c r="B107" s="33">
        <f>w_uf*UF*Parámetros!C94</f>
        <v>1561205.1736252808</v>
      </c>
      <c r="C107" s="30">
        <f t="shared" si="247"/>
        <v>93</v>
      </c>
      <c r="D107" s="30">
        <f>((A107=Inputs!$C$12)*(Inputs!$D$12) + (A107=Inputs!$C$13)*(Inputs!$D$13) + (A107=Inputs!$C$14)*(Inputs!$D$14)) *(A107 &gt;= a_afil)*(A107&gt;=2024)</f>
        <v>0</v>
      </c>
      <c r="E107" s="30">
        <f>MIN(1,(A107=Inputs!$C$19)*Inputs!$D$19+(A107=Inputs!$C$20)*Inputs!$D$20+(A107=Inputs!$C$21)*Inputs!$D$21*(A107 &gt;= a_afil))</f>
        <v>0</v>
      </c>
      <c r="F107" s="30">
        <f t="shared" si="248"/>
        <v>0</v>
      </c>
      <c r="G107" s="30">
        <f t="shared" si="249"/>
        <v>0</v>
      </c>
      <c r="H107" s="30">
        <v>0.77083277702331543</v>
      </c>
      <c r="I107" s="37">
        <f t="shared" si="255"/>
        <v>0</v>
      </c>
      <c r="J107" s="37">
        <f t="shared" si="256"/>
        <v>0</v>
      </c>
      <c r="K107" s="30">
        <f>1*OR(Inputs!$D$17=$A107,Inputs!$E$17=$A107)*($E107=0)*(F107=1)</f>
        <v>0</v>
      </c>
      <c r="L107" s="30">
        <f>1*OR(Inputs!$D$17=$A107,Inputs!$E$17=$A107)*($E107=0)*(G107=1)</f>
        <v>0</v>
      </c>
      <c r="M107" s="73">
        <f t="shared" si="245"/>
        <v>0</v>
      </c>
      <c r="N107" s="73">
        <f t="shared" si="246"/>
        <v>0</v>
      </c>
      <c r="O107" s="55">
        <f>Parámetros!$E94*12*I107*$P$14</f>
        <v>0</v>
      </c>
      <c r="P107" s="55">
        <f>Parámetros!$E94*12*J107*$P$14</f>
        <v>0</v>
      </c>
      <c r="Q107" s="70">
        <f t="shared" si="225"/>
        <v>0</v>
      </c>
      <c r="R107" s="70">
        <f t="shared" si="226"/>
        <v>0</v>
      </c>
      <c r="S107" s="68">
        <f t="shared" si="270"/>
        <v>0</v>
      </c>
      <c r="T107" s="68">
        <f t="shared" si="271"/>
        <v>0</v>
      </c>
      <c r="U107" s="177"/>
      <c r="V107" s="68">
        <f t="shared" si="266"/>
        <v>0</v>
      </c>
      <c r="W107" s="68">
        <f t="shared" si="267"/>
        <v>0</v>
      </c>
      <c r="X107" s="54">
        <f t="shared" si="253"/>
        <v>0</v>
      </c>
      <c r="Y107" s="54">
        <f t="shared" si="254"/>
        <v>0</v>
      </c>
      <c r="Z107" s="55">
        <f t="shared" si="268"/>
        <v>0</v>
      </c>
      <c r="AA107" s="55">
        <f t="shared" si="269"/>
        <v>0</v>
      </c>
      <c r="AB107" s="53">
        <f>D107*mmater*Parámetros!$G94*$X$5+AB106*(1+i_noc)</f>
        <v>0</v>
      </c>
      <c r="AC107" s="53">
        <f>E107*12*Parámetros!$F94*$X$5+AC106*(1+i_noc)</f>
        <v>995281.01177019032</v>
      </c>
      <c r="AD107" s="53"/>
      <c r="AE107" s="53"/>
      <c r="AF107" s="175"/>
      <c r="AG107" s="74">
        <f t="shared" si="250"/>
        <v>0</v>
      </c>
      <c r="AH107" s="52">
        <f t="shared" si="251"/>
        <v>0</v>
      </c>
      <c r="AI107" s="56">
        <f t="shared" si="257"/>
        <v>0</v>
      </c>
      <c r="AJ107" s="56">
        <f t="shared" si="258"/>
        <v>0</v>
      </c>
      <c r="AK107" s="56"/>
      <c r="AL107" s="56"/>
      <c r="AM107" s="56"/>
      <c r="AN107" s="56"/>
      <c r="AO107" s="56">
        <f t="shared" si="259"/>
        <v>0</v>
      </c>
      <c r="AP107" s="56">
        <f t="shared" si="260"/>
        <v>0</v>
      </c>
      <c r="AQ107" s="53">
        <f t="shared" si="261"/>
        <v>0</v>
      </c>
      <c r="AR107" s="53">
        <f t="shared" si="262"/>
        <v>0</v>
      </c>
      <c r="AS107" s="39"/>
      <c r="AT107" s="68">
        <f t="shared" si="263"/>
        <v>0</v>
      </c>
      <c r="AU107" s="68">
        <f t="shared" si="264"/>
        <v>0</v>
      </c>
      <c r="AV107" s="68">
        <f t="shared" si="265"/>
        <v>0</v>
      </c>
      <c r="AW107" s="68">
        <f t="shared" si="252"/>
        <v>0</v>
      </c>
      <c r="AX107" s="39"/>
      <c r="AY107" s="39"/>
    </row>
    <row r="108" spans="1:52" x14ac:dyDescent="0.25">
      <c r="A108" s="30">
        <v>2073</v>
      </c>
      <c r="B108" s="33">
        <f>w_uf*UF*Parámetros!C95</f>
        <v>1580720.2382955968</v>
      </c>
      <c r="C108" s="30">
        <f t="shared" si="247"/>
        <v>94</v>
      </c>
      <c r="D108" s="30">
        <f>((A108=Inputs!$C$12)*(Inputs!$D$12) + (A108=Inputs!$C$13)*(Inputs!$D$13) + (A108=Inputs!$C$14)*(Inputs!$D$14)) *(A108 &gt;= a_afil)*(A108&gt;=2024)</f>
        <v>0</v>
      </c>
      <c r="E108" s="30">
        <f>MIN(1,(A108=Inputs!$C$19)*Inputs!$D$19+(A108=Inputs!$C$20)*Inputs!$D$20+(A108=Inputs!$C$21)*Inputs!$D$21*(A108 &gt;= a_afil))</f>
        <v>0</v>
      </c>
      <c r="F108" s="30">
        <f t="shared" si="248"/>
        <v>0</v>
      </c>
      <c r="G108" s="30">
        <f t="shared" si="249"/>
        <v>0</v>
      </c>
      <c r="H108" s="30">
        <v>0.21800035238265991</v>
      </c>
      <c r="I108" s="37">
        <f t="shared" si="255"/>
        <v>0</v>
      </c>
      <c r="J108" s="37">
        <f t="shared" si="256"/>
        <v>0</v>
      </c>
      <c r="K108" s="30">
        <f>1*OR(Inputs!$D$17=$A108,Inputs!$E$17=$A108)*($E108=0)*(F108=1)</f>
        <v>0</v>
      </c>
      <c r="L108" s="30">
        <f>1*OR(Inputs!$D$17=$A108,Inputs!$E$17=$A108)*($E108=0)*(G108=1)</f>
        <v>0</v>
      </c>
      <c r="M108" s="73">
        <f t="shared" si="245"/>
        <v>0</v>
      </c>
      <c r="N108" s="73">
        <f t="shared" si="246"/>
        <v>0</v>
      </c>
      <c r="O108" s="55">
        <f>Parámetros!$E95*12*I108*$P$14</f>
        <v>0</v>
      </c>
      <c r="P108" s="55">
        <f>Parámetros!$E95*12*J108*$P$14</f>
        <v>0</v>
      </c>
      <c r="Q108" s="70">
        <f t="shared" si="225"/>
        <v>0</v>
      </c>
      <c r="R108" s="70">
        <f t="shared" si="226"/>
        <v>0</v>
      </c>
      <c r="S108" s="68">
        <f t="shared" si="270"/>
        <v>0</v>
      </c>
      <c r="T108" s="68">
        <f t="shared" si="271"/>
        <v>0</v>
      </c>
      <c r="U108" s="177"/>
      <c r="V108" s="68">
        <f t="shared" si="266"/>
        <v>0</v>
      </c>
      <c r="W108" s="68">
        <f t="shared" si="267"/>
        <v>0</v>
      </c>
      <c r="X108" s="54">
        <f t="shared" si="253"/>
        <v>0</v>
      </c>
      <c r="Y108" s="54">
        <f t="shared" si="254"/>
        <v>0</v>
      </c>
      <c r="Z108" s="55">
        <f t="shared" si="268"/>
        <v>0</v>
      </c>
      <c r="AA108" s="55">
        <f t="shared" si="269"/>
        <v>0</v>
      </c>
      <c r="AB108" s="53">
        <f>D108*mmater*Parámetros!$G95*$X$5+AB107*(1+i_noc)</f>
        <v>0</v>
      </c>
      <c r="AC108" s="53">
        <f>E108*12*Parámetros!$F95*$X$5+AC107*(1+i_noc)</f>
        <v>1015186.6320055941</v>
      </c>
      <c r="AD108" s="53"/>
      <c r="AE108" s="53"/>
      <c r="AF108" s="175"/>
      <c r="AG108" s="74">
        <f t="shared" si="250"/>
        <v>0</v>
      </c>
      <c r="AH108" s="52">
        <f t="shared" si="251"/>
        <v>0</v>
      </c>
      <c r="AI108" s="56">
        <f t="shared" si="257"/>
        <v>0</v>
      </c>
      <c r="AJ108" s="56">
        <f t="shared" si="258"/>
        <v>0</v>
      </c>
      <c r="AK108" s="56"/>
      <c r="AL108" s="56"/>
      <c r="AM108" s="56"/>
      <c r="AN108" s="56"/>
      <c r="AO108" s="56">
        <f t="shared" si="259"/>
        <v>0</v>
      </c>
      <c r="AP108" s="56">
        <f t="shared" si="260"/>
        <v>0</v>
      </c>
      <c r="AQ108" s="53">
        <f t="shared" si="261"/>
        <v>0</v>
      </c>
      <c r="AR108" s="53">
        <f t="shared" si="262"/>
        <v>0</v>
      </c>
      <c r="AS108" s="39"/>
      <c r="AT108" s="68">
        <f t="shared" si="263"/>
        <v>0</v>
      </c>
      <c r="AU108" s="68">
        <f t="shared" si="264"/>
        <v>0</v>
      </c>
      <c r="AV108" s="68">
        <f t="shared" si="265"/>
        <v>0</v>
      </c>
      <c r="AW108" s="68">
        <f t="shared" si="252"/>
        <v>0</v>
      </c>
      <c r="AX108" s="39"/>
      <c r="AY108" s="39"/>
    </row>
    <row r="109" spans="1:52" x14ac:dyDescent="0.25">
      <c r="A109" s="30">
        <v>2074</v>
      </c>
      <c r="B109" s="33">
        <f>w_uf*UF*Parámetros!C96</f>
        <v>1600479.2412742916</v>
      </c>
      <c r="C109" s="30">
        <f t="shared" si="247"/>
        <v>95</v>
      </c>
      <c r="D109" s="30">
        <f>((A109=Inputs!$C$12)*(Inputs!$D$12) + (A109=Inputs!$C$13)*(Inputs!$D$13) + (A109=Inputs!$C$14)*(Inputs!$D$14)) *(A109 &gt;= a_afil)*(A109&gt;=2024)</f>
        <v>0</v>
      </c>
      <c r="E109" s="30">
        <f>MIN(1,(A109=Inputs!$C$19)*Inputs!$D$19+(A109=Inputs!$C$20)*Inputs!$D$20+(A109=Inputs!$C$21)*Inputs!$D$21*(A109 &gt;= a_afil))</f>
        <v>0</v>
      </c>
      <c r="F109" s="30">
        <f t="shared" si="248"/>
        <v>0</v>
      </c>
      <c r="G109" s="30">
        <f t="shared" si="249"/>
        <v>0</v>
      </c>
      <c r="H109" s="30">
        <v>0.44699323177337646</v>
      </c>
      <c r="I109" s="37">
        <f t="shared" si="255"/>
        <v>0</v>
      </c>
      <c r="J109" s="37">
        <f t="shared" si="256"/>
        <v>0</v>
      </c>
      <c r="K109" s="30">
        <f>1*OR(Inputs!$D$17=$A109,Inputs!$E$17=$A109)*($E109=0)*(F109=1)</f>
        <v>0</v>
      </c>
      <c r="L109" s="30">
        <f>1*OR(Inputs!$D$17=$A109,Inputs!$E$17=$A109)*($E109=0)*(G109=1)</f>
        <v>0</v>
      </c>
      <c r="M109" s="73">
        <f t="shared" si="245"/>
        <v>0</v>
      </c>
      <c r="N109" s="73">
        <f t="shared" si="246"/>
        <v>0</v>
      </c>
      <c r="O109" s="55">
        <f>Parámetros!$E96*12*I109*$P$14</f>
        <v>0</v>
      </c>
      <c r="P109" s="55">
        <f>Parámetros!$E96*12*J109*$P$14</f>
        <v>0</v>
      </c>
      <c r="Q109" s="70">
        <f t="shared" si="225"/>
        <v>0</v>
      </c>
      <c r="R109" s="70">
        <f t="shared" si="226"/>
        <v>0</v>
      </c>
      <c r="S109" s="68">
        <f t="shared" si="270"/>
        <v>0</v>
      </c>
      <c r="T109" s="68">
        <f t="shared" si="271"/>
        <v>0</v>
      </c>
      <c r="U109" s="177"/>
      <c r="V109" s="68">
        <f t="shared" si="266"/>
        <v>0</v>
      </c>
      <c r="W109" s="68">
        <f t="shared" si="267"/>
        <v>0</v>
      </c>
      <c r="X109" s="54">
        <f t="shared" si="253"/>
        <v>0</v>
      </c>
      <c r="Y109" s="54">
        <f t="shared" si="254"/>
        <v>0</v>
      </c>
      <c r="Z109" s="55">
        <f t="shared" si="268"/>
        <v>0</v>
      </c>
      <c r="AA109" s="55">
        <f t="shared" si="269"/>
        <v>0</v>
      </c>
      <c r="AB109" s="53">
        <f>D109*mmater*Parámetros!$G96*$X$5+AB108*(1+i_noc)</f>
        <v>0</v>
      </c>
      <c r="AC109" s="53">
        <f>E109*12*Parámetros!$F96*$X$5+AC108*(1+i_noc)</f>
        <v>1035490.364645706</v>
      </c>
      <c r="AD109" s="53"/>
      <c r="AE109" s="53"/>
      <c r="AF109" s="175"/>
      <c r="AG109" s="74">
        <f t="shared" si="250"/>
        <v>0</v>
      </c>
      <c r="AH109" s="52">
        <f t="shared" si="251"/>
        <v>0</v>
      </c>
      <c r="AI109" s="56">
        <f t="shared" si="257"/>
        <v>0</v>
      </c>
      <c r="AJ109" s="56">
        <f t="shared" si="258"/>
        <v>0</v>
      </c>
      <c r="AK109" s="56"/>
      <c r="AL109" s="56"/>
      <c r="AM109" s="56"/>
      <c r="AN109" s="56"/>
      <c r="AO109" s="56">
        <f t="shared" si="259"/>
        <v>0</v>
      </c>
      <c r="AP109" s="56">
        <f t="shared" si="260"/>
        <v>0</v>
      </c>
      <c r="AQ109" s="53">
        <f t="shared" si="261"/>
        <v>0</v>
      </c>
      <c r="AR109" s="53">
        <f t="shared" si="262"/>
        <v>0</v>
      </c>
      <c r="AS109" s="39"/>
      <c r="AT109" s="68">
        <f t="shared" si="263"/>
        <v>0</v>
      </c>
      <c r="AU109" s="68">
        <f t="shared" si="264"/>
        <v>0</v>
      </c>
      <c r="AV109" s="68">
        <f t="shared" si="265"/>
        <v>0</v>
      </c>
      <c r="AW109" s="68">
        <f t="shared" si="252"/>
        <v>0</v>
      </c>
      <c r="AX109" s="39"/>
      <c r="AY109" s="39"/>
    </row>
    <row r="110" spans="1:52" x14ac:dyDescent="0.25">
      <c r="A110" s="30">
        <v>2075</v>
      </c>
      <c r="B110" s="33">
        <f>w_uf*UF*Parámetros!C97</f>
        <v>1620485.2317902204</v>
      </c>
      <c r="C110" s="30">
        <f t="shared" si="247"/>
        <v>96</v>
      </c>
      <c r="D110" s="30">
        <f>((A110=Inputs!$C$12)*(Inputs!$D$12) + (A110=Inputs!$C$13)*(Inputs!$D$13) + (A110=Inputs!$C$14)*(Inputs!$D$14)) *(A110 &gt;= a_afil)*(A110&gt;=2024)</f>
        <v>0</v>
      </c>
      <c r="E110" s="30">
        <f>MIN(1,(A110=Inputs!$C$19)*Inputs!$D$19+(A110=Inputs!$C$20)*Inputs!$D$20+(A110=Inputs!$C$21)*Inputs!$D$21*(A110 &gt;= a_afil))</f>
        <v>0</v>
      </c>
      <c r="F110" s="30">
        <f t="shared" si="248"/>
        <v>0</v>
      </c>
      <c r="G110" s="30">
        <f t="shared" si="249"/>
        <v>0</v>
      </c>
      <c r="H110" s="30">
        <v>0.23602777719497681</v>
      </c>
      <c r="I110" s="37">
        <f t="shared" si="255"/>
        <v>0</v>
      </c>
      <c r="J110" s="37">
        <f t="shared" si="256"/>
        <v>0</v>
      </c>
      <c r="K110" s="30">
        <f>1*OR(Inputs!$D$17=$A110,Inputs!$E$17=$A110)*($E110=0)*(F110=1)</f>
        <v>0</v>
      </c>
      <c r="L110" s="30">
        <f>1*OR(Inputs!$D$17=$A110,Inputs!$E$17=$A110)*($E110=0)*(G110=1)</f>
        <v>0</v>
      </c>
      <c r="M110" s="73">
        <f t="shared" si="245"/>
        <v>0</v>
      </c>
      <c r="N110" s="73">
        <f t="shared" si="246"/>
        <v>0</v>
      </c>
      <c r="O110" s="55">
        <f>Parámetros!$E97*12*I110*$P$14</f>
        <v>0</v>
      </c>
      <c r="P110" s="55">
        <f>Parámetros!$E97*12*J110*$P$14</f>
        <v>0</v>
      </c>
      <c r="Q110" s="70">
        <f t="shared" si="225"/>
        <v>0</v>
      </c>
      <c r="R110" s="70">
        <f t="shared" si="226"/>
        <v>0</v>
      </c>
      <c r="S110" s="68">
        <f t="shared" si="270"/>
        <v>0</v>
      </c>
      <c r="T110" s="68">
        <f t="shared" si="271"/>
        <v>0</v>
      </c>
      <c r="U110" s="177"/>
      <c r="V110" s="68">
        <f t="shared" si="266"/>
        <v>0</v>
      </c>
      <c r="W110" s="68">
        <f t="shared" si="267"/>
        <v>0</v>
      </c>
      <c r="X110" s="54">
        <f t="shared" si="253"/>
        <v>0</v>
      </c>
      <c r="Y110" s="54">
        <f t="shared" si="254"/>
        <v>0</v>
      </c>
      <c r="Z110" s="55">
        <f t="shared" si="268"/>
        <v>0</v>
      </c>
      <c r="AA110" s="55">
        <f t="shared" si="269"/>
        <v>0</v>
      </c>
      <c r="AB110" s="53">
        <f>D110*mmater*Parámetros!$G97*$X$5+AB109*(1+i_noc)</f>
        <v>0</v>
      </c>
      <c r="AC110" s="53">
        <f>E110*12*Parámetros!$F97*$X$5+AC109*(1+i_noc)</f>
        <v>1056200.1719386203</v>
      </c>
      <c r="AD110" s="53"/>
      <c r="AE110" s="53"/>
      <c r="AF110" s="175"/>
      <c r="AG110" s="74">
        <f t="shared" si="250"/>
        <v>0</v>
      </c>
      <c r="AH110" s="52">
        <f t="shared" si="251"/>
        <v>0</v>
      </c>
      <c r="AI110" s="56">
        <f t="shared" si="257"/>
        <v>0</v>
      </c>
      <c r="AJ110" s="56">
        <f t="shared" si="258"/>
        <v>0</v>
      </c>
      <c r="AK110" s="56"/>
      <c r="AL110" s="56"/>
      <c r="AM110" s="56"/>
      <c r="AN110" s="56"/>
      <c r="AO110" s="56">
        <f t="shared" si="259"/>
        <v>0</v>
      </c>
      <c r="AP110" s="56">
        <f t="shared" si="260"/>
        <v>0</v>
      </c>
      <c r="AQ110" s="53">
        <f t="shared" si="261"/>
        <v>0</v>
      </c>
      <c r="AR110" s="53">
        <f t="shared" si="262"/>
        <v>0</v>
      </c>
      <c r="AS110" s="39"/>
      <c r="AT110" s="68">
        <f t="shared" si="263"/>
        <v>0</v>
      </c>
      <c r="AU110" s="68">
        <f t="shared" si="264"/>
        <v>0</v>
      </c>
      <c r="AV110" s="68">
        <f t="shared" si="265"/>
        <v>0</v>
      </c>
      <c r="AW110" s="68">
        <f t="shared" si="252"/>
        <v>0</v>
      </c>
      <c r="AX110" s="39"/>
      <c r="AY110" s="39"/>
    </row>
    <row r="111" spans="1:52" x14ac:dyDescent="0.25">
      <c r="A111" s="30">
        <v>2076</v>
      </c>
      <c r="B111" s="33">
        <f>w_uf*UF*Parámetros!C98</f>
        <v>1640741.297187598</v>
      </c>
      <c r="C111" s="30">
        <f t="shared" si="247"/>
        <v>97</v>
      </c>
      <c r="D111" s="30">
        <f>((A111=Inputs!$C$12)*(Inputs!$D$12) + (A111=Inputs!$C$13)*(Inputs!$D$13) + (A111=Inputs!$C$14)*(Inputs!$D$14)) *(A111 &gt;= a_afil)*(A111&gt;=2024)</f>
        <v>0</v>
      </c>
      <c r="E111" s="30">
        <f>MIN(1,(A111=Inputs!$C$19)*Inputs!$D$19+(A111=Inputs!$C$20)*Inputs!$D$20+(A111=Inputs!$C$21)*Inputs!$D$21*(A111 &gt;= a_afil))</f>
        <v>0</v>
      </c>
      <c r="F111" s="30">
        <f t="shared" si="248"/>
        <v>0</v>
      </c>
      <c r="G111" s="30">
        <f t="shared" si="249"/>
        <v>0</v>
      </c>
      <c r="H111" s="30">
        <v>0.87838459014892578</v>
      </c>
      <c r="I111" s="37">
        <f t="shared" si="255"/>
        <v>0</v>
      </c>
      <c r="J111" s="37">
        <f t="shared" si="256"/>
        <v>0</v>
      </c>
      <c r="K111" s="30">
        <f>1*OR(Inputs!$D$17=$A111,Inputs!$E$17=$A111)*($E111=0)*(F111=1)</f>
        <v>0</v>
      </c>
      <c r="L111" s="30">
        <f>1*OR(Inputs!$D$17=$A111,Inputs!$E$17=$A111)*($E111=0)*(G111=1)</f>
        <v>0</v>
      </c>
      <c r="M111" s="73">
        <f t="shared" si="245"/>
        <v>0</v>
      </c>
      <c r="N111" s="73">
        <f t="shared" si="246"/>
        <v>0</v>
      </c>
      <c r="O111" s="55">
        <f>Parámetros!$E98*12*I111*$P$14</f>
        <v>0</v>
      </c>
      <c r="P111" s="55">
        <f>Parámetros!$E98*12*J111*$P$14</f>
        <v>0</v>
      </c>
      <c r="Q111" s="70">
        <f t="shared" si="225"/>
        <v>0</v>
      </c>
      <c r="R111" s="70">
        <f t="shared" si="226"/>
        <v>0</v>
      </c>
      <c r="S111" s="68">
        <f t="shared" si="270"/>
        <v>0</v>
      </c>
      <c r="T111" s="68">
        <f t="shared" si="271"/>
        <v>0</v>
      </c>
      <c r="U111" s="177"/>
      <c r="V111" s="68">
        <f t="shared" si="266"/>
        <v>0</v>
      </c>
      <c r="W111" s="68">
        <f t="shared" si="267"/>
        <v>0</v>
      </c>
      <c r="X111" s="54">
        <f t="shared" si="253"/>
        <v>0</v>
      </c>
      <c r="Y111" s="54">
        <f t="shared" si="254"/>
        <v>0</v>
      </c>
      <c r="Z111" s="55">
        <f t="shared" si="268"/>
        <v>0</v>
      </c>
      <c r="AA111" s="55">
        <f t="shared" si="269"/>
        <v>0</v>
      </c>
      <c r="AB111" s="53">
        <f>D111*mmater*Parámetros!$G98*$X$5+AB110*(1+i_noc)</f>
        <v>0</v>
      </c>
      <c r="AC111" s="53">
        <f>E111*12*Parámetros!$F98*$X$5+AC110*(1+i_noc)</f>
        <v>1077324.1753773927</v>
      </c>
      <c r="AD111" s="53"/>
      <c r="AE111" s="53"/>
      <c r="AF111" s="175"/>
      <c r="AG111" s="74">
        <f t="shared" si="250"/>
        <v>0</v>
      </c>
      <c r="AH111" s="52">
        <f t="shared" si="251"/>
        <v>0</v>
      </c>
      <c r="AI111" s="56">
        <f t="shared" si="257"/>
        <v>0</v>
      </c>
      <c r="AJ111" s="56">
        <f t="shared" si="258"/>
        <v>0</v>
      </c>
      <c r="AK111" s="56"/>
      <c r="AL111" s="56"/>
      <c r="AM111" s="56"/>
      <c r="AN111" s="56"/>
      <c r="AO111" s="56">
        <f t="shared" si="259"/>
        <v>0</v>
      </c>
      <c r="AP111" s="56">
        <f t="shared" si="260"/>
        <v>0</v>
      </c>
      <c r="AQ111" s="53">
        <f t="shared" si="261"/>
        <v>0</v>
      </c>
      <c r="AR111" s="53">
        <f t="shared" si="262"/>
        <v>0</v>
      </c>
      <c r="AS111" s="39"/>
      <c r="AT111" s="68">
        <f t="shared" si="263"/>
        <v>0</v>
      </c>
      <c r="AU111" s="68">
        <f t="shared" si="264"/>
        <v>0</v>
      </c>
      <c r="AV111" s="68">
        <f t="shared" si="265"/>
        <v>0</v>
      </c>
      <c r="AW111" s="68">
        <f t="shared" si="252"/>
        <v>0</v>
      </c>
      <c r="AX111" s="39"/>
      <c r="AY111" s="39"/>
    </row>
    <row r="112" spans="1:52" x14ac:dyDescent="0.25">
      <c r="A112" s="30">
        <v>2077</v>
      </c>
      <c r="B112" s="33">
        <f>w_uf*UF*Parámetros!C99</f>
        <v>1661250.563402443</v>
      </c>
      <c r="C112" s="30">
        <f t="shared" ref="C112:C135" si="272">IF(AND(A112-a_nac&lt;=110,A112-a_nac&gt;0),A112-a_nac,"")</f>
        <v>98</v>
      </c>
      <c r="D112" s="30">
        <f>((A112=Inputs!$C$12)*(Inputs!$D$12) + (A112=Inputs!$C$13)*(Inputs!$D$13) + (A112=Inputs!$C$14)*(Inputs!$D$14)) *(A112 &gt;= a_afil)*(A112&gt;=2024)</f>
        <v>0</v>
      </c>
      <c r="E112" s="30">
        <f>MIN(1,(A112=Inputs!$C$19)*Inputs!$D$19+(A112=Inputs!$C$20)*Inputs!$D$20+(A112=Inputs!$C$21)*Inputs!$D$21*(A112 &gt;= a_afil))</f>
        <v>0</v>
      </c>
      <c r="F112" s="30">
        <f t="shared" ref="F112:F134" si="273" xml:space="preserve"> (C112&lt;edad_ret_h) * (A112&gt;=a_afil)</f>
        <v>0</v>
      </c>
      <c r="G112" s="30">
        <f t="shared" ref="G112:G134" si="274" xml:space="preserve"> (C112&lt;edad_ret_m) * (A112&gt;=a_afil)</f>
        <v>0</v>
      </c>
      <c r="H112" s="30">
        <v>0.61043280363082886</v>
      </c>
      <c r="I112" s="37">
        <f t="shared" si="255"/>
        <v>0</v>
      </c>
      <c r="J112" s="37">
        <f t="shared" si="256"/>
        <v>0</v>
      </c>
      <c r="K112" s="30">
        <f>1*OR(Inputs!$D$17=$A112,Inputs!$E$17=$A112)*($E112=0)*(F112=1)</f>
        <v>0</v>
      </c>
      <c r="L112" s="30">
        <f>1*OR(Inputs!$D$17=$A112,Inputs!$E$17=$A112)*($E112=0)*(G112=1)</f>
        <v>0</v>
      </c>
      <c r="M112" s="73">
        <f t="shared" si="245"/>
        <v>0</v>
      </c>
      <c r="N112" s="73">
        <f t="shared" si="246"/>
        <v>0</v>
      </c>
      <c r="O112" s="55">
        <f>Parámetros!$E99*12*I112*$P$14</f>
        <v>0</v>
      </c>
      <c r="P112" s="55">
        <f>Parámetros!$E99*12*J112*$P$14</f>
        <v>0</v>
      </c>
      <c r="Q112" s="70">
        <f t="shared" si="225"/>
        <v>0</v>
      </c>
      <c r="R112" s="70">
        <f t="shared" si="226"/>
        <v>0</v>
      </c>
      <c r="S112" s="68">
        <f t="shared" si="270"/>
        <v>0</v>
      </c>
      <c r="T112" s="68">
        <f t="shared" si="271"/>
        <v>0</v>
      </c>
      <c r="U112" s="177"/>
      <c r="V112" s="68">
        <f t="shared" si="266"/>
        <v>0</v>
      </c>
      <c r="W112" s="68">
        <f t="shared" si="267"/>
        <v>0</v>
      </c>
      <c r="X112" s="54">
        <f t="shared" si="253"/>
        <v>0</v>
      </c>
      <c r="Y112" s="54">
        <f t="shared" si="254"/>
        <v>0</v>
      </c>
      <c r="Z112" s="55">
        <f t="shared" si="268"/>
        <v>0</v>
      </c>
      <c r="AA112" s="55">
        <f t="shared" si="269"/>
        <v>0</v>
      </c>
      <c r="AB112" s="53">
        <f>D112*mmater*Parámetros!$G99*$X$5+AB111*(1+i_noc)</f>
        <v>0</v>
      </c>
      <c r="AC112" s="53">
        <f>E112*12*Parámetros!$F99*$X$5+AC111*(1+i_noc)</f>
        <v>1098870.6588849404</v>
      </c>
      <c r="AD112" s="53"/>
      <c r="AE112" s="53"/>
      <c r="AF112" s="175"/>
      <c r="AG112" s="74">
        <f t="shared" ref="AG112:AG135" si="275">($A112=D$9)*X112/(12*_xlfn.XLOOKUP(AG$15,sexo_cnu,cnu))</f>
        <v>0</v>
      </c>
      <c r="AH112" s="52">
        <f t="shared" ref="AH112:AH135" si="276">($A112=E$9)*Y112/(12*_xlfn.XLOOKUP(AH$15,sexo_cnu,cnu))</f>
        <v>0</v>
      </c>
      <c r="AI112" s="56">
        <f t="shared" si="257"/>
        <v>0</v>
      </c>
      <c r="AJ112" s="56">
        <f t="shared" si="258"/>
        <v>0</v>
      </c>
      <c r="AK112" s="56"/>
      <c r="AL112" s="56"/>
      <c r="AM112" s="56"/>
      <c r="AN112" s="56"/>
      <c r="AO112" s="56">
        <f t="shared" si="259"/>
        <v>0</v>
      </c>
      <c r="AP112" s="56">
        <f t="shared" si="260"/>
        <v>0</v>
      </c>
      <c r="AQ112" s="53">
        <f t="shared" si="261"/>
        <v>0</v>
      </c>
      <c r="AR112" s="53">
        <f t="shared" si="262"/>
        <v>0</v>
      </c>
      <c r="AS112" s="39"/>
      <c r="AT112" s="68">
        <f t="shared" si="263"/>
        <v>0</v>
      </c>
      <c r="AU112" s="68">
        <f t="shared" si="264"/>
        <v>0</v>
      </c>
      <c r="AV112" s="68">
        <f t="shared" si="265"/>
        <v>0</v>
      </c>
      <c r="AW112" s="68">
        <f t="shared" ref="AW112:AW135" si="277">IF($A112=a_nac+edad_ret_m,AA112/(12*_xlfn.XLOOKUP(AW$15,sexo_cnu,cnu)),0)</f>
        <v>0</v>
      </c>
      <c r="AX112" s="39"/>
      <c r="AY112" s="39"/>
    </row>
    <row r="113" spans="1:51" x14ac:dyDescent="0.25">
      <c r="A113" s="30">
        <v>2078</v>
      </c>
      <c r="B113" s="33">
        <f>w_uf*UF*Parámetros!C100</f>
        <v>1682016.1954449732</v>
      </c>
      <c r="C113" s="30">
        <f t="shared" si="272"/>
        <v>99</v>
      </c>
      <c r="D113" s="30">
        <f>((A113=Inputs!$C$12)*(Inputs!$D$12) + (A113=Inputs!$C$13)*(Inputs!$D$13) + (A113=Inputs!$C$14)*(Inputs!$D$14)) *(A113 &gt;= a_afil)*(A113&gt;=2024)</f>
        <v>0</v>
      </c>
      <c r="E113" s="30">
        <f>MIN(1,(A113=Inputs!$C$19)*Inputs!$D$19+(A113=Inputs!$C$20)*Inputs!$D$20+(A113=Inputs!$C$21)*Inputs!$D$21*(A113 &gt;= a_afil))</f>
        <v>0</v>
      </c>
      <c r="F113" s="30">
        <f t="shared" si="273"/>
        <v>0</v>
      </c>
      <c r="G113" s="30">
        <f t="shared" si="274"/>
        <v>0</v>
      </c>
      <c r="H113" s="30">
        <v>0.37443220615386963</v>
      </c>
      <c r="I113" s="37">
        <f t="shared" si="255"/>
        <v>0</v>
      </c>
      <c r="J113" s="37">
        <f t="shared" si="256"/>
        <v>0</v>
      </c>
      <c r="K113" s="30">
        <f>1*OR(Inputs!$D$17=$A113,Inputs!$E$17=$A113)*($E113=0)*(F113=1)</f>
        <v>0</v>
      </c>
      <c r="L113" s="30">
        <f>1*OR(Inputs!$D$17=$A113,Inputs!$E$17=$A113)*($E113=0)*(G113=1)</f>
        <v>0</v>
      </c>
      <c r="M113" s="73">
        <f t="shared" si="245"/>
        <v>0</v>
      </c>
      <c r="N113" s="73">
        <f t="shared" si="246"/>
        <v>0</v>
      </c>
      <c r="O113" s="55">
        <f>Parámetros!$E100*12*I113*$P$14</f>
        <v>0</v>
      </c>
      <c r="P113" s="55">
        <f>Parámetros!$E100*12*J113*$P$14</f>
        <v>0</v>
      </c>
      <c r="Q113" s="70">
        <f t="shared" si="225"/>
        <v>0</v>
      </c>
      <c r="R113" s="70">
        <f t="shared" si="226"/>
        <v>0</v>
      </c>
      <c r="S113" s="68">
        <f t="shared" si="270"/>
        <v>0</v>
      </c>
      <c r="T113" s="68">
        <f t="shared" si="271"/>
        <v>0</v>
      </c>
      <c r="U113" s="177"/>
      <c r="V113" s="68">
        <f t="shared" si="266"/>
        <v>0</v>
      </c>
      <c r="W113" s="68">
        <f t="shared" si="267"/>
        <v>0</v>
      </c>
      <c r="X113" s="54">
        <f t="shared" ref="X113:X135" si="278">F112*X112*(1+_xlfn.XLOOKUP(MIN(2024,$A112),agnos_rent,rent_base))+Q113</f>
        <v>0</v>
      </c>
      <c r="Y113" s="54">
        <f t="shared" ref="Y113:Y135" si="279">G112*Y112*(1+_xlfn.XLOOKUP(MIN(2024,$A112),agnos_rent,rent_base))+R113</f>
        <v>0</v>
      </c>
      <c r="Z113" s="55">
        <f t="shared" si="268"/>
        <v>0</v>
      </c>
      <c r="AA113" s="55">
        <f t="shared" si="269"/>
        <v>0</v>
      </c>
      <c r="AB113" s="53">
        <f>D113*mmater*Parámetros!$G100*$X$5+AB112*(1+i_noc)</f>
        <v>0</v>
      </c>
      <c r="AC113" s="53">
        <f>E113*12*Parámetros!$F100*$X$5+AC112*(1+i_noc)</f>
        <v>1120848.0720626393</v>
      </c>
      <c r="AD113" s="53"/>
      <c r="AE113" s="53"/>
      <c r="AF113" s="175"/>
      <c r="AG113" s="74">
        <f t="shared" si="275"/>
        <v>0</v>
      </c>
      <c r="AH113" s="52">
        <f t="shared" si="276"/>
        <v>0</v>
      </c>
      <c r="AI113" s="56">
        <f t="shared" si="257"/>
        <v>0</v>
      </c>
      <c r="AJ113" s="56">
        <f t="shared" si="258"/>
        <v>0</v>
      </c>
      <c r="AK113" s="56"/>
      <c r="AL113" s="56"/>
      <c r="AM113" s="56"/>
      <c r="AN113" s="56"/>
      <c r="AO113" s="56">
        <f t="shared" si="259"/>
        <v>0</v>
      </c>
      <c r="AP113" s="56">
        <f t="shared" si="260"/>
        <v>0</v>
      </c>
      <c r="AQ113" s="53">
        <f t="shared" si="261"/>
        <v>0</v>
      </c>
      <c r="AR113" s="53">
        <f t="shared" si="262"/>
        <v>0</v>
      </c>
      <c r="AS113" s="39"/>
      <c r="AT113" s="68">
        <f t="shared" si="263"/>
        <v>0</v>
      </c>
      <c r="AU113" s="68">
        <f t="shared" si="264"/>
        <v>0</v>
      </c>
      <c r="AV113" s="68">
        <f t="shared" si="265"/>
        <v>0</v>
      </c>
      <c r="AW113" s="68">
        <f t="shared" si="277"/>
        <v>0</v>
      </c>
      <c r="AX113" s="39"/>
      <c r="AY113" s="39"/>
    </row>
    <row r="114" spans="1:51" x14ac:dyDescent="0.25">
      <c r="A114" s="30">
        <v>2079</v>
      </c>
      <c r="B114" s="33">
        <f>w_uf*UF*Parámetros!C101</f>
        <v>1703041.3978880353</v>
      </c>
      <c r="C114" s="30">
        <f t="shared" si="272"/>
        <v>100</v>
      </c>
      <c r="D114" s="30">
        <f>((A114=Inputs!$C$12)*(Inputs!$D$12) + (A114=Inputs!$C$13)*(Inputs!$D$13) + (A114=Inputs!$C$14)*(Inputs!$D$14)) *(A114 &gt;= a_afil)*(A114&gt;=2024)</f>
        <v>0</v>
      </c>
      <c r="E114" s="30">
        <f>MIN(1,(A114=Inputs!$C$19)*Inputs!$D$19+(A114=Inputs!$C$20)*Inputs!$D$20+(A114=Inputs!$C$21)*Inputs!$D$21*(A114 &gt;= a_afil))</f>
        <v>0</v>
      </c>
      <c r="F114" s="30">
        <f t="shared" si="273"/>
        <v>0</v>
      </c>
      <c r="G114" s="30">
        <f t="shared" si="274"/>
        <v>0</v>
      </c>
      <c r="H114" s="30">
        <v>0.38950186967849731</v>
      </c>
      <c r="I114" s="37">
        <f t="shared" si="255"/>
        <v>0</v>
      </c>
      <c r="J114" s="37">
        <f t="shared" si="256"/>
        <v>0</v>
      </c>
      <c r="K114" s="30">
        <f>1*OR(Inputs!$D$17=$A114,Inputs!$E$17=$A114)*($E114=0)*(F114=1)</f>
        <v>0</v>
      </c>
      <c r="L114" s="30">
        <f>1*OR(Inputs!$D$17=$A114,Inputs!$E$17=$A114)*($E114=0)*(G114=1)</f>
        <v>0</v>
      </c>
      <c r="M114" s="73">
        <f t="shared" si="245"/>
        <v>0</v>
      </c>
      <c r="N114" s="73">
        <f t="shared" si="246"/>
        <v>0</v>
      </c>
      <c r="O114" s="55">
        <f>Parámetros!$E101*12*I114*$P$14</f>
        <v>0</v>
      </c>
      <c r="P114" s="55">
        <f>Parámetros!$E101*12*J114*$P$14</f>
        <v>0</v>
      </c>
      <c r="Q114" s="70">
        <f t="shared" si="225"/>
        <v>0</v>
      </c>
      <c r="R114" s="70">
        <f t="shared" si="226"/>
        <v>0</v>
      </c>
      <c r="S114" s="68">
        <f t="shared" si="270"/>
        <v>0</v>
      </c>
      <c r="T114" s="68">
        <f t="shared" si="271"/>
        <v>0</v>
      </c>
      <c r="U114" s="177"/>
      <c r="V114" s="68">
        <f t="shared" si="266"/>
        <v>0</v>
      </c>
      <c r="W114" s="68">
        <f t="shared" si="267"/>
        <v>0</v>
      </c>
      <c r="X114" s="54">
        <f t="shared" si="278"/>
        <v>0</v>
      </c>
      <c r="Y114" s="54">
        <f t="shared" si="279"/>
        <v>0</v>
      </c>
      <c r="Z114" s="55">
        <f t="shared" si="268"/>
        <v>0</v>
      </c>
      <c r="AA114" s="55">
        <f t="shared" si="269"/>
        <v>0</v>
      </c>
      <c r="AB114" s="53">
        <f>D114*mmater*Parámetros!$G101*$X$5+AB113*(1+i_noc)</f>
        <v>0</v>
      </c>
      <c r="AC114" s="53">
        <f>E114*12*Parámetros!$F101*$X$5+AC113*(1+i_noc)</f>
        <v>1143265.0335038921</v>
      </c>
      <c r="AD114" s="53"/>
      <c r="AE114" s="53"/>
      <c r="AF114" s="175"/>
      <c r="AG114" s="74">
        <f t="shared" si="275"/>
        <v>0</v>
      </c>
      <c r="AH114" s="52">
        <f t="shared" si="276"/>
        <v>0</v>
      </c>
      <c r="AI114" s="56">
        <f t="shared" si="257"/>
        <v>0</v>
      </c>
      <c r="AJ114" s="56">
        <f t="shared" si="258"/>
        <v>0</v>
      </c>
      <c r="AK114" s="56"/>
      <c r="AL114" s="56"/>
      <c r="AM114" s="56"/>
      <c r="AN114" s="56"/>
      <c r="AO114" s="56">
        <f t="shared" si="259"/>
        <v>0</v>
      </c>
      <c r="AP114" s="56">
        <f t="shared" si="260"/>
        <v>0</v>
      </c>
      <c r="AQ114" s="53">
        <f t="shared" si="261"/>
        <v>0</v>
      </c>
      <c r="AR114" s="53">
        <f t="shared" si="262"/>
        <v>0</v>
      </c>
      <c r="AS114" s="39"/>
      <c r="AT114" s="68">
        <f t="shared" si="263"/>
        <v>0</v>
      </c>
      <c r="AU114" s="68">
        <f t="shared" si="264"/>
        <v>0</v>
      </c>
      <c r="AV114" s="68">
        <f t="shared" si="265"/>
        <v>0</v>
      </c>
      <c r="AW114" s="68">
        <f t="shared" si="277"/>
        <v>0</v>
      </c>
      <c r="AX114" s="39"/>
      <c r="AY114" s="39"/>
    </row>
    <row r="115" spans="1:51" x14ac:dyDescent="0.25">
      <c r="A115" s="30">
        <v>2080</v>
      </c>
      <c r="B115" s="33">
        <f>w_uf*UF*Parámetros!C102</f>
        <v>1724329.4153616359</v>
      </c>
      <c r="C115" s="30">
        <f t="shared" si="272"/>
        <v>101</v>
      </c>
      <c r="D115" s="30">
        <f>((A115=Inputs!$C$12)*(Inputs!$D$12) + (A115=Inputs!$C$13)*(Inputs!$D$13) + (A115=Inputs!$C$14)*(Inputs!$D$14)) *(A115 &gt;= a_afil)*(A115&gt;=2024)</f>
        <v>0</v>
      </c>
      <c r="E115" s="30">
        <f>MIN(1,(A115=Inputs!$C$19)*Inputs!$D$19+(A115=Inputs!$C$20)*Inputs!$D$20+(A115=Inputs!$C$21)*Inputs!$D$21*(A115 &gt;= a_afil))</f>
        <v>0</v>
      </c>
      <c r="F115" s="30">
        <f t="shared" si="273"/>
        <v>0</v>
      </c>
      <c r="G115" s="30">
        <f t="shared" si="274"/>
        <v>0</v>
      </c>
      <c r="H115" s="30">
        <v>0.86058926582336426</v>
      </c>
      <c r="I115" s="37">
        <f t="shared" si="255"/>
        <v>0</v>
      </c>
      <c r="J115" s="37">
        <f t="shared" si="256"/>
        <v>0</v>
      </c>
      <c r="K115" s="30">
        <f>1*OR(Inputs!$D$17=$A115,Inputs!$E$17=$A115)*($E115=0)*(F115=1)</f>
        <v>0</v>
      </c>
      <c r="L115" s="30">
        <f>1*OR(Inputs!$D$17=$A115,Inputs!$E$17=$A115)*($E115=0)*(G115=1)</f>
        <v>0</v>
      </c>
      <c r="M115" s="73">
        <f t="shared" si="245"/>
        <v>0</v>
      </c>
      <c r="N115" s="73">
        <f t="shared" si="246"/>
        <v>0</v>
      </c>
      <c r="O115" s="55">
        <f>Parámetros!$E102*12*I115*$P$14</f>
        <v>0</v>
      </c>
      <c r="P115" s="55">
        <f>Parámetros!$E102*12*J115*$P$14</f>
        <v>0</v>
      </c>
      <c r="Q115" s="70">
        <f t="shared" si="225"/>
        <v>0</v>
      </c>
      <c r="R115" s="70">
        <f t="shared" si="226"/>
        <v>0</v>
      </c>
      <c r="S115" s="68">
        <f t="shared" si="270"/>
        <v>0</v>
      </c>
      <c r="T115" s="68">
        <f t="shared" si="271"/>
        <v>0</v>
      </c>
      <c r="U115" s="177"/>
      <c r="V115" s="68">
        <f t="shared" si="266"/>
        <v>0</v>
      </c>
      <c r="W115" s="68">
        <f t="shared" si="267"/>
        <v>0</v>
      </c>
      <c r="X115" s="54">
        <f t="shared" si="278"/>
        <v>0</v>
      </c>
      <c r="Y115" s="54">
        <f t="shared" si="279"/>
        <v>0</v>
      </c>
      <c r="Z115" s="55">
        <f t="shared" si="268"/>
        <v>0</v>
      </c>
      <c r="AA115" s="55">
        <f t="shared" si="269"/>
        <v>0</v>
      </c>
      <c r="AB115" s="53">
        <f>D115*mmater*Parámetros!$G102*$X$5+AB114*(1+i_noc)</f>
        <v>0</v>
      </c>
      <c r="AC115" s="53">
        <f>E115*12*Parámetros!$F102*$X$5+AC114*(1+i_noc)</f>
        <v>1166130.3341739699</v>
      </c>
      <c r="AD115" s="53"/>
      <c r="AE115" s="53"/>
      <c r="AF115" s="175"/>
      <c r="AG115" s="74">
        <f t="shared" si="275"/>
        <v>0</v>
      </c>
      <c r="AH115" s="52">
        <f t="shared" si="276"/>
        <v>0</v>
      </c>
      <c r="AI115" s="56">
        <f t="shared" si="257"/>
        <v>0</v>
      </c>
      <c r="AJ115" s="56">
        <f t="shared" si="258"/>
        <v>0</v>
      </c>
      <c r="AK115" s="56"/>
      <c r="AL115" s="56"/>
      <c r="AM115" s="56"/>
      <c r="AN115" s="56"/>
      <c r="AO115" s="56">
        <f t="shared" si="259"/>
        <v>0</v>
      </c>
      <c r="AP115" s="56">
        <f t="shared" si="260"/>
        <v>0</v>
      </c>
      <c r="AQ115" s="53">
        <f t="shared" si="261"/>
        <v>0</v>
      </c>
      <c r="AR115" s="53">
        <f t="shared" si="262"/>
        <v>0</v>
      </c>
      <c r="AS115" s="39"/>
      <c r="AT115" s="68">
        <f t="shared" si="263"/>
        <v>0</v>
      </c>
      <c r="AU115" s="68">
        <f t="shared" si="264"/>
        <v>0</v>
      </c>
      <c r="AV115" s="68">
        <f t="shared" si="265"/>
        <v>0</v>
      </c>
      <c r="AW115" s="68">
        <f t="shared" si="277"/>
        <v>0</v>
      </c>
      <c r="AX115" s="39"/>
      <c r="AY115" s="39"/>
    </row>
    <row r="116" spans="1:51" x14ac:dyDescent="0.25">
      <c r="A116" s="30">
        <v>2081</v>
      </c>
      <c r="B116" s="33">
        <f>w_uf*UF*Parámetros!C103</f>
        <v>1745883.5330536563</v>
      </c>
      <c r="C116" s="30">
        <f t="shared" si="272"/>
        <v>102</v>
      </c>
      <c r="D116" s="30">
        <f>((A116=Inputs!$C$12)*(Inputs!$D$12) + (A116=Inputs!$C$13)*(Inputs!$D$13) + (A116=Inputs!$C$14)*(Inputs!$D$14)) *(A116 &gt;= a_afil)*(A116&gt;=2024)</f>
        <v>0</v>
      </c>
      <c r="E116" s="30">
        <f>MIN(1,(A116=Inputs!$C$19)*Inputs!$D$19+(A116=Inputs!$C$20)*Inputs!$D$20+(A116=Inputs!$C$21)*Inputs!$D$21*(A116 &gt;= a_afil))</f>
        <v>0</v>
      </c>
      <c r="F116" s="30">
        <f t="shared" si="273"/>
        <v>0</v>
      </c>
      <c r="G116" s="30">
        <f t="shared" si="274"/>
        <v>0</v>
      </c>
      <c r="H116" s="30">
        <v>0.58593791723251343</v>
      </c>
      <c r="I116" s="37">
        <f t="shared" si="255"/>
        <v>0</v>
      </c>
      <c r="J116" s="37">
        <f t="shared" si="256"/>
        <v>0</v>
      </c>
      <c r="K116" s="30">
        <f>1*OR(Inputs!$D$17=$A116,Inputs!$E$17=$A116)*($E116=0)*(F116=1)</f>
        <v>0</v>
      </c>
      <c r="L116" s="30">
        <f>1*OR(Inputs!$D$17=$A116,Inputs!$E$17=$A116)*($E116=0)*(G116=1)</f>
        <v>0</v>
      </c>
      <c r="M116" s="73">
        <f t="shared" si="245"/>
        <v>0</v>
      </c>
      <c r="N116" s="73">
        <f t="shared" si="246"/>
        <v>0</v>
      </c>
      <c r="O116" s="55">
        <f>Parámetros!$E103*12*I116*$P$14</f>
        <v>0</v>
      </c>
      <c r="P116" s="55">
        <f>Parámetros!$E103*12*J116*$P$14</f>
        <v>0</v>
      </c>
      <c r="Q116" s="70">
        <f t="shared" si="225"/>
        <v>0</v>
      </c>
      <c r="R116" s="70">
        <f t="shared" si="226"/>
        <v>0</v>
      </c>
      <c r="S116" s="68">
        <f t="shared" si="270"/>
        <v>0</v>
      </c>
      <c r="T116" s="68">
        <f t="shared" si="271"/>
        <v>0</v>
      </c>
      <c r="U116" s="177"/>
      <c r="V116" s="68">
        <f t="shared" si="266"/>
        <v>0</v>
      </c>
      <c r="W116" s="68">
        <f t="shared" si="267"/>
        <v>0</v>
      </c>
      <c r="X116" s="54">
        <f t="shared" si="278"/>
        <v>0</v>
      </c>
      <c r="Y116" s="54">
        <f t="shared" si="279"/>
        <v>0</v>
      </c>
      <c r="Z116" s="55">
        <f t="shared" si="268"/>
        <v>0</v>
      </c>
      <c r="AA116" s="55">
        <f t="shared" si="269"/>
        <v>0</v>
      </c>
      <c r="AB116" s="53">
        <f>D116*mmater*Parámetros!$G103*$X$5+AB115*(1+i_noc)</f>
        <v>0</v>
      </c>
      <c r="AC116" s="53">
        <f>E116*12*Parámetros!$F103*$X$5+AC115*(1+i_noc)</f>
        <v>1189452.9408574493</v>
      </c>
      <c r="AD116" s="53"/>
      <c r="AE116" s="53"/>
      <c r="AF116" s="175"/>
      <c r="AG116" s="74">
        <f t="shared" si="275"/>
        <v>0</v>
      </c>
      <c r="AH116" s="52">
        <f t="shared" si="276"/>
        <v>0</v>
      </c>
      <c r="AI116" s="56">
        <f t="shared" si="257"/>
        <v>0</v>
      </c>
      <c r="AJ116" s="56">
        <f t="shared" si="258"/>
        <v>0</v>
      </c>
      <c r="AK116" s="56"/>
      <c r="AL116" s="56"/>
      <c r="AM116" s="56"/>
      <c r="AN116" s="56"/>
      <c r="AO116" s="56">
        <f t="shared" si="259"/>
        <v>0</v>
      </c>
      <c r="AP116" s="56">
        <f t="shared" si="260"/>
        <v>0</v>
      </c>
      <c r="AQ116" s="53">
        <f t="shared" si="261"/>
        <v>0</v>
      </c>
      <c r="AR116" s="53">
        <f t="shared" si="262"/>
        <v>0</v>
      </c>
      <c r="AS116" s="39"/>
      <c r="AT116" s="68">
        <f t="shared" si="263"/>
        <v>0</v>
      </c>
      <c r="AU116" s="68">
        <f t="shared" si="264"/>
        <v>0</v>
      </c>
      <c r="AV116" s="68">
        <f t="shared" si="265"/>
        <v>0</v>
      </c>
      <c r="AW116" s="68">
        <f t="shared" si="277"/>
        <v>0</v>
      </c>
      <c r="AX116" s="39"/>
      <c r="AY116" s="39"/>
    </row>
    <row r="117" spans="1:51" x14ac:dyDescent="0.25">
      <c r="A117" s="30">
        <v>2082</v>
      </c>
      <c r="B117" s="33">
        <f>w_uf*UF*Parámetros!C104</f>
        <v>1767707.0772168266</v>
      </c>
      <c r="C117" s="30">
        <f t="shared" si="272"/>
        <v>103</v>
      </c>
      <c r="D117" s="30">
        <f>((A117=Inputs!$C$12)*(Inputs!$D$12) + (A117=Inputs!$C$13)*(Inputs!$D$13) + (A117=Inputs!$C$14)*(Inputs!$D$14)) *(A117 &gt;= a_afil)*(A117&gt;=2024)</f>
        <v>0</v>
      </c>
      <c r="E117" s="30">
        <f>MIN(1,(A117=Inputs!$C$19)*Inputs!$D$19+(A117=Inputs!$C$20)*Inputs!$D$20+(A117=Inputs!$C$21)*Inputs!$D$21*(A117 &gt;= a_afil))</f>
        <v>0</v>
      </c>
      <c r="F117" s="30">
        <f t="shared" si="273"/>
        <v>0</v>
      </c>
      <c r="G117" s="30">
        <f t="shared" si="274"/>
        <v>0</v>
      </c>
      <c r="H117" s="30">
        <v>0.93155944347381592</v>
      </c>
      <c r="I117" s="37">
        <f t="shared" si="255"/>
        <v>0</v>
      </c>
      <c r="J117" s="37">
        <f t="shared" si="256"/>
        <v>0</v>
      </c>
      <c r="K117" s="30">
        <f>1*OR(Inputs!$D$17=$A117,Inputs!$E$17=$A117)*($E117=0)*(F117=1)</f>
        <v>0</v>
      </c>
      <c r="L117" s="30">
        <f>1*OR(Inputs!$D$17=$A117,Inputs!$E$17=$A117)*($E117=0)*(G117=1)</f>
        <v>0</v>
      </c>
      <c r="M117" s="73">
        <f t="shared" si="245"/>
        <v>0</v>
      </c>
      <c r="N117" s="73">
        <f t="shared" si="246"/>
        <v>0</v>
      </c>
      <c r="O117" s="55">
        <f>Parámetros!$E104*12*I117*$P$14</f>
        <v>0</v>
      </c>
      <c r="P117" s="55">
        <f>Parámetros!$E104*12*J117*$P$14</f>
        <v>0</v>
      </c>
      <c r="Q117" s="70">
        <f t="shared" si="225"/>
        <v>0</v>
      </c>
      <c r="R117" s="70">
        <f t="shared" si="226"/>
        <v>0</v>
      </c>
      <c r="S117" s="68">
        <f t="shared" si="270"/>
        <v>0</v>
      </c>
      <c r="T117" s="68">
        <f t="shared" si="271"/>
        <v>0</v>
      </c>
      <c r="U117" s="177"/>
      <c r="V117" s="68">
        <f t="shared" si="266"/>
        <v>0</v>
      </c>
      <c r="W117" s="68">
        <f t="shared" si="267"/>
        <v>0</v>
      </c>
      <c r="X117" s="54">
        <f t="shared" si="278"/>
        <v>0</v>
      </c>
      <c r="Y117" s="54">
        <f t="shared" si="279"/>
        <v>0</v>
      </c>
      <c r="Z117" s="55">
        <f t="shared" si="268"/>
        <v>0</v>
      </c>
      <c r="AA117" s="55">
        <f t="shared" si="269"/>
        <v>0</v>
      </c>
      <c r="AB117" s="53">
        <f>D117*mmater*Parámetros!$G104*$X$5+AB116*(1+i_noc)</f>
        <v>0</v>
      </c>
      <c r="AC117" s="53">
        <f>E117*12*Parámetros!$F104*$X$5+AC116*(1+i_noc)</f>
        <v>1213241.9996745982</v>
      </c>
      <c r="AD117" s="53"/>
      <c r="AE117" s="53"/>
      <c r="AF117" s="175"/>
      <c r="AG117" s="74">
        <f t="shared" si="275"/>
        <v>0</v>
      </c>
      <c r="AH117" s="52">
        <f t="shared" si="276"/>
        <v>0</v>
      </c>
      <c r="AI117" s="56">
        <f t="shared" si="257"/>
        <v>0</v>
      </c>
      <c r="AJ117" s="56">
        <f t="shared" si="258"/>
        <v>0</v>
      </c>
      <c r="AK117" s="56"/>
      <c r="AL117" s="56"/>
      <c r="AM117" s="56"/>
      <c r="AN117" s="56"/>
      <c r="AO117" s="56">
        <f t="shared" si="259"/>
        <v>0</v>
      </c>
      <c r="AP117" s="56">
        <f t="shared" si="260"/>
        <v>0</v>
      </c>
      <c r="AQ117" s="53">
        <f t="shared" si="261"/>
        <v>0</v>
      </c>
      <c r="AR117" s="53">
        <f t="shared" si="262"/>
        <v>0</v>
      </c>
      <c r="AS117" s="39"/>
      <c r="AT117" s="68">
        <f t="shared" si="263"/>
        <v>0</v>
      </c>
      <c r="AU117" s="68">
        <f t="shared" si="264"/>
        <v>0</v>
      </c>
      <c r="AV117" s="68">
        <f t="shared" si="265"/>
        <v>0</v>
      </c>
      <c r="AW117" s="68">
        <f t="shared" si="277"/>
        <v>0</v>
      </c>
      <c r="AX117" s="39"/>
      <c r="AY117" s="39"/>
    </row>
    <row r="118" spans="1:51" x14ac:dyDescent="0.25">
      <c r="A118" s="30">
        <v>2083</v>
      </c>
      <c r="B118" s="33">
        <f>w_uf*UF*Parámetros!C105</f>
        <v>1789803.4156820369</v>
      </c>
      <c r="C118" s="30">
        <f t="shared" si="272"/>
        <v>104</v>
      </c>
      <c r="D118" s="30">
        <f>((A118=Inputs!$C$12)*(Inputs!$D$12) + (A118=Inputs!$C$13)*(Inputs!$D$13) + (A118=Inputs!$C$14)*(Inputs!$D$14)) *(A118 &gt;= a_afil)*(A118&gt;=2024)</f>
        <v>0</v>
      </c>
      <c r="E118" s="30">
        <f>MIN(1,(A118=Inputs!$C$19)*Inputs!$D$19+(A118=Inputs!$C$20)*Inputs!$D$20+(A118=Inputs!$C$21)*Inputs!$D$21*(A118 &gt;= a_afil))</f>
        <v>0</v>
      </c>
      <c r="F118" s="30">
        <f t="shared" si="273"/>
        <v>0</v>
      </c>
      <c r="G118" s="30">
        <f t="shared" si="274"/>
        <v>0</v>
      </c>
      <c r="H118" s="30">
        <v>0.51719242334365845</v>
      </c>
      <c r="I118" s="37">
        <f t="shared" si="255"/>
        <v>0</v>
      </c>
      <c r="J118" s="37">
        <f t="shared" si="256"/>
        <v>0</v>
      </c>
      <c r="K118" s="30">
        <f>1*OR(Inputs!$D$17=$A118,Inputs!$E$17=$A118)*($E118=0)*(F118=1)</f>
        <v>0</v>
      </c>
      <c r="L118" s="30">
        <f>1*OR(Inputs!$D$17=$A118,Inputs!$E$17=$A118)*($E118=0)*(G118=1)</f>
        <v>0</v>
      </c>
      <c r="M118" s="73">
        <f t="shared" si="245"/>
        <v>0</v>
      </c>
      <c r="N118" s="73">
        <f t="shared" si="246"/>
        <v>0</v>
      </c>
      <c r="O118" s="55">
        <f>Parámetros!$E105*12*I118*$P$14</f>
        <v>0</v>
      </c>
      <c r="P118" s="55">
        <f>Parámetros!$E105*12*J118*$P$14</f>
        <v>0</v>
      </c>
      <c r="Q118" s="70">
        <f t="shared" si="225"/>
        <v>0</v>
      </c>
      <c r="R118" s="70">
        <f t="shared" si="226"/>
        <v>0</v>
      </c>
      <c r="S118" s="68">
        <f t="shared" si="270"/>
        <v>0</v>
      </c>
      <c r="T118" s="68">
        <f t="shared" si="271"/>
        <v>0</v>
      </c>
      <c r="U118" s="177"/>
      <c r="V118" s="68">
        <f t="shared" si="266"/>
        <v>0</v>
      </c>
      <c r="W118" s="68">
        <f t="shared" si="267"/>
        <v>0</v>
      </c>
      <c r="X118" s="54">
        <f t="shared" si="278"/>
        <v>0</v>
      </c>
      <c r="Y118" s="54">
        <f t="shared" si="279"/>
        <v>0</v>
      </c>
      <c r="Z118" s="55">
        <f t="shared" si="268"/>
        <v>0</v>
      </c>
      <c r="AA118" s="55">
        <f t="shared" si="269"/>
        <v>0</v>
      </c>
      <c r="AB118" s="53">
        <f>D118*mmater*Parámetros!$G105*$X$5+AB117*(1+i_noc)</f>
        <v>0</v>
      </c>
      <c r="AC118" s="53">
        <f>E118*12*Parámetros!$F105*$X$5+AC117*(1+i_noc)</f>
        <v>1237506.8396680902</v>
      </c>
      <c r="AD118" s="53"/>
      <c r="AE118" s="53"/>
      <c r="AF118" s="175"/>
      <c r="AG118" s="74">
        <f t="shared" si="275"/>
        <v>0</v>
      </c>
      <c r="AH118" s="52">
        <f t="shared" si="276"/>
        <v>0</v>
      </c>
      <c r="AI118" s="56">
        <f t="shared" si="257"/>
        <v>0</v>
      </c>
      <c r="AJ118" s="56">
        <f t="shared" si="258"/>
        <v>0</v>
      </c>
      <c r="AK118" s="56"/>
      <c r="AL118" s="56"/>
      <c r="AM118" s="56"/>
      <c r="AN118" s="56"/>
      <c r="AO118" s="56">
        <f t="shared" si="259"/>
        <v>0</v>
      </c>
      <c r="AP118" s="56">
        <f t="shared" si="260"/>
        <v>0</v>
      </c>
      <c r="AQ118" s="53">
        <f t="shared" si="261"/>
        <v>0</v>
      </c>
      <c r="AR118" s="53">
        <f t="shared" si="262"/>
        <v>0</v>
      </c>
      <c r="AS118" s="39"/>
      <c r="AT118" s="68">
        <f t="shared" si="263"/>
        <v>0</v>
      </c>
      <c r="AU118" s="68">
        <f t="shared" si="264"/>
        <v>0</v>
      </c>
      <c r="AV118" s="68">
        <f t="shared" si="265"/>
        <v>0</v>
      </c>
      <c r="AW118" s="68">
        <f t="shared" si="277"/>
        <v>0</v>
      </c>
      <c r="AX118" s="39"/>
      <c r="AY118" s="39"/>
    </row>
    <row r="119" spans="1:51" x14ac:dyDescent="0.25">
      <c r="A119" s="30">
        <v>2084</v>
      </c>
      <c r="B119" s="33">
        <f>w_uf*UF*Parámetros!C106</f>
        <v>1812175.9583780621</v>
      </c>
      <c r="C119" s="30">
        <f t="shared" si="272"/>
        <v>105</v>
      </c>
      <c r="D119" s="30">
        <f>((A119=Inputs!$C$12)*(Inputs!$D$12) + (A119=Inputs!$C$13)*(Inputs!$D$13) + (A119=Inputs!$C$14)*(Inputs!$D$14)) *(A119 &gt;= a_afil)*(A119&gt;=2024)</f>
        <v>0</v>
      </c>
      <c r="E119" s="30">
        <f>MIN(1,(A119=Inputs!$C$19)*Inputs!$D$19+(A119=Inputs!$C$20)*Inputs!$D$20+(A119=Inputs!$C$21)*Inputs!$D$21*(A119 &gt;= a_afil))</f>
        <v>0</v>
      </c>
      <c r="F119" s="30">
        <f t="shared" si="273"/>
        <v>0</v>
      </c>
      <c r="G119" s="30">
        <f t="shared" si="274"/>
        <v>0</v>
      </c>
      <c r="H119" s="30">
        <v>0.33030080795288086</v>
      </c>
      <c r="I119" s="37">
        <f t="shared" si="255"/>
        <v>0</v>
      </c>
      <c r="J119" s="37">
        <f t="shared" si="256"/>
        <v>0</v>
      </c>
      <c r="K119" s="30">
        <f>1*OR(Inputs!$D$17=$A119,Inputs!$E$17=$A119)*($E119=0)*(F119=1)</f>
        <v>0</v>
      </c>
      <c r="L119" s="30">
        <f>1*OR(Inputs!$D$17=$A119,Inputs!$E$17=$A119)*($E119=0)*(G119=1)</f>
        <v>0</v>
      </c>
      <c r="M119" s="73">
        <f t="shared" si="245"/>
        <v>0</v>
      </c>
      <c r="N119" s="73">
        <f t="shared" si="246"/>
        <v>0</v>
      </c>
      <c r="O119" s="55">
        <f>Parámetros!$E106*12*I119*$P$14</f>
        <v>0</v>
      </c>
      <c r="P119" s="55">
        <f>Parámetros!$E106*12*J119*$P$14</f>
        <v>0</v>
      </c>
      <c r="Q119" s="70">
        <f t="shared" si="225"/>
        <v>0</v>
      </c>
      <c r="R119" s="70">
        <f t="shared" si="226"/>
        <v>0</v>
      </c>
      <c r="S119" s="68">
        <f t="shared" si="270"/>
        <v>0</v>
      </c>
      <c r="T119" s="68">
        <f t="shared" si="271"/>
        <v>0</v>
      </c>
      <c r="U119" s="177"/>
      <c r="V119" s="68">
        <f t="shared" si="266"/>
        <v>0</v>
      </c>
      <c r="W119" s="68">
        <f t="shared" si="267"/>
        <v>0</v>
      </c>
      <c r="X119" s="54">
        <f t="shared" si="278"/>
        <v>0</v>
      </c>
      <c r="Y119" s="54">
        <f t="shared" si="279"/>
        <v>0</v>
      </c>
      <c r="Z119" s="55">
        <f t="shared" si="268"/>
        <v>0</v>
      </c>
      <c r="AA119" s="55">
        <f t="shared" si="269"/>
        <v>0</v>
      </c>
      <c r="AB119" s="53">
        <f>D119*mmater*Parámetros!$G106*$X$5+AB118*(1+i_noc)</f>
        <v>0</v>
      </c>
      <c r="AC119" s="53">
        <f>E119*12*Parámetros!$F106*$X$5+AC118*(1+i_noc)</f>
        <v>1262256.976461452</v>
      </c>
      <c r="AD119" s="53"/>
      <c r="AE119" s="53"/>
      <c r="AF119" s="175"/>
      <c r="AG119" s="74">
        <f t="shared" si="275"/>
        <v>0</v>
      </c>
      <c r="AH119" s="52">
        <f t="shared" si="276"/>
        <v>0</v>
      </c>
      <c r="AI119" s="56">
        <f t="shared" si="257"/>
        <v>0</v>
      </c>
      <c r="AJ119" s="56">
        <f t="shared" si="258"/>
        <v>0</v>
      </c>
      <c r="AK119" s="56"/>
      <c r="AL119" s="56"/>
      <c r="AM119" s="56"/>
      <c r="AN119" s="56"/>
      <c r="AO119" s="56">
        <f t="shared" si="259"/>
        <v>0</v>
      </c>
      <c r="AP119" s="56">
        <f t="shared" si="260"/>
        <v>0</v>
      </c>
      <c r="AQ119" s="53">
        <f t="shared" si="261"/>
        <v>0</v>
      </c>
      <c r="AR119" s="53">
        <f t="shared" si="262"/>
        <v>0</v>
      </c>
      <c r="AS119" s="39"/>
      <c r="AT119" s="68">
        <f t="shared" si="263"/>
        <v>0</v>
      </c>
      <c r="AU119" s="68">
        <f t="shared" si="264"/>
        <v>0</v>
      </c>
      <c r="AV119" s="68">
        <f t="shared" si="265"/>
        <v>0</v>
      </c>
      <c r="AW119" s="68">
        <f t="shared" si="277"/>
        <v>0</v>
      </c>
      <c r="AX119" s="39"/>
      <c r="AY119" s="39"/>
    </row>
    <row r="120" spans="1:51" x14ac:dyDescent="0.25">
      <c r="A120" s="30">
        <v>2085</v>
      </c>
      <c r="B120" s="33">
        <f>w_uf*UF*Parámetros!C107</f>
        <v>1834828.157857788</v>
      </c>
      <c r="C120" s="30">
        <f t="shared" si="272"/>
        <v>106</v>
      </c>
      <c r="D120" s="30">
        <f>((A120=Inputs!$C$12)*(Inputs!$D$12) + (A120=Inputs!$C$13)*(Inputs!$D$13) + (A120=Inputs!$C$14)*(Inputs!$D$14)) *(A120 &gt;= a_afil)*(A120&gt;=2024)</f>
        <v>0</v>
      </c>
      <c r="E120" s="30">
        <f>MIN(1,(A120=Inputs!$C$19)*Inputs!$D$19+(A120=Inputs!$C$20)*Inputs!$D$20+(A120=Inputs!$C$21)*Inputs!$D$21*(A120 &gt;= a_afil))</f>
        <v>0</v>
      </c>
      <c r="F120" s="30">
        <f t="shared" si="273"/>
        <v>0</v>
      </c>
      <c r="G120" s="30">
        <f t="shared" si="274"/>
        <v>0</v>
      </c>
      <c r="H120" s="30">
        <v>0.86845368146896362</v>
      </c>
      <c r="I120" s="37">
        <f t="shared" si="255"/>
        <v>0</v>
      </c>
      <c r="J120" s="37">
        <f t="shared" si="256"/>
        <v>0</v>
      </c>
      <c r="K120" s="30">
        <f>1*OR(Inputs!$D$17=$A120,Inputs!$E$17=$A120)*($E120=0)*(F120=1)</f>
        <v>0</v>
      </c>
      <c r="L120" s="30">
        <f>1*OR(Inputs!$D$17=$A120,Inputs!$E$17=$A120)*($E120=0)*(G120=1)</f>
        <v>0</v>
      </c>
      <c r="M120" s="73">
        <f t="shared" si="245"/>
        <v>0</v>
      </c>
      <c r="N120" s="73">
        <f t="shared" si="246"/>
        <v>0</v>
      </c>
      <c r="O120" s="55">
        <f>Parámetros!$E107*12*I120*$P$14</f>
        <v>0</v>
      </c>
      <c r="P120" s="55">
        <f>Parámetros!$E107*12*J120*$P$14</f>
        <v>0</v>
      </c>
      <c r="Q120" s="70">
        <f t="shared" si="225"/>
        <v>0</v>
      </c>
      <c r="R120" s="70">
        <f t="shared" si="226"/>
        <v>0</v>
      </c>
      <c r="S120" s="68">
        <f t="shared" si="270"/>
        <v>0</v>
      </c>
      <c r="T120" s="68">
        <f t="shared" si="271"/>
        <v>0</v>
      </c>
      <c r="U120" s="177"/>
      <c r="V120" s="68">
        <f t="shared" si="266"/>
        <v>0</v>
      </c>
      <c r="W120" s="68">
        <f t="shared" si="267"/>
        <v>0</v>
      </c>
      <c r="X120" s="54">
        <f t="shared" si="278"/>
        <v>0</v>
      </c>
      <c r="Y120" s="54">
        <f t="shared" si="279"/>
        <v>0</v>
      </c>
      <c r="Z120" s="55">
        <f t="shared" si="268"/>
        <v>0</v>
      </c>
      <c r="AA120" s="55">
        <f t="shared" si="269"/>
        <v>0</v>
      </c>
      <c r="AB120" s="53">
        <f>D120*mmater*Parámetros!$G107*$X$5+AB119*(1+i_noc)</f>
        <v>0</v>
      </c>
      <c r="AC120" s="53">
        <f>E120*12*Parámetros!$F107*$X$5+AC119*(1+i_noc)</f>
        <v>1287502.1159906811</v>
      </c>
      <c r="AD120" s="53"/>
      <c r="AE120" s="53"/>
      <c r="AF120" s="175"/>
      <c r="AG120" s="74">
        <f t="shared" si="275"/>
        <v>0</v>
      </c>
      <c r="AH120" s="52">
        <f t="shared" si="276"/>
        <v>0</v>
      </c>
      <c r="AI120" s="56">
        <f t="shared" si="257"/>
        <v>0</v>
      </c>
      <c r="AJ120" s="56">
        <f t="shared" si="258"/>
        <v>0</v>
      </c>
      <c r="AK120" s="56"/>
      <c r="AL120" s="56"/>
      <c r="AM120" s="56"/>
      <c r="AN120" s="56"/>
      <c r="AO120" s="56">
        <f t="shared" si="259"/>
        <v>0</v>
      </c>
      <c r="AP120" s="56">
        <f t="shared" si="260"/>
        <v>0</v>
      </c>
      <c r="AQ120" s="53">
        <f t="shared" si="261"/>
        <v>0</v>
      </c>
      <c r="AR120" s="53">
        <f t="shared" si="262"/>
        <v>0</v>
      </c>
      <c r="AS120" s="39"/>
      <c r="AT120" s="68">
        <f t="shared" si="263"/>
        <v>0</v>
      </c>
      <c r="AU120" s="68">
        <f t="shared" si="264"/>
        <v>0</v>
      </c>
      <c r="AV120" s="68">
        <f t="shared" si="265"/>
        <v>0</v>
      </c>
      <c r="AW120" s="68">
        <f t="shared" si="277"/>
        <v>0</v>
      </c>
      <c r="AX120" s="39"/>
      <c r="AY120" s="39"/>
    </row>
    <row r="121" spans="1:51" x14ac:dyDescent="0.25">
      <c r="A121" s="30">
        <v>2086</v>
      </c>
      <c r="B121" s="33">
        <f>w_uf*UF*Parámetros!C108</f>
        <v>1857763.5098310101</v>
      </c>
      <c r="C121" s="30">
        <f t="shared" si="272"/>
        <v>107</v>
      </c>
      <c r="D121" s="30">
        <f>((A121=Inputs!$C$12)*(Inputs!$D$12) + (A121=Inputs!$C$13)*(Inputs!$D$13) + (A121=Inputs!$C$14)*(Inputs!$D$14)) *(A121 &gt;= a_afil)*(A121&gt;=2024)</f>
        <v>0</v>
      </c>
      <c r="E121" s="30">
        <f>MIN(1,(A121=Inputs!$C$19)*Inputs!$D$19+(A121=Inputs!$C$20)*Inputs!$D$20+(A121=Inputs!$C$21)*Inputs!$D$21*(A121 &gt;= a_afil))</f>
        <v>0</v>
      </c>
      <c r="F121" s="30">
        <f t="shared" si="273"/>
        <v>0</v>
      </c>
      <c r="G121" s="30">
        <f t="shared" si="274"/>
        <v>0</v>
      </c>
      <c r="H121" s="30">
        <v>0.25906097888946533</v>
      </c>
      <c r="I121" s="37">
        <f t="shared" si="255"/>
        <v>0</v>
      </c>
      <c r="J121" s="37">
        <f t="shared" si="256"/>
        <v>0</v>
      </c>
      <c r="K121" s="30">
        <f>1*OR(Inputs!$D$17=$A121,Inputs!$E$17=$A121)*($E121=0)*(F121=1)</f>
        <v>0</v>
      </c>
      <c r="L121" s="30">
        <f>1*OR(Inputs!$D$17=$A121,Inputs!$E$17=$A121)*($E121=0)*(G121=1)</f>
        <v>0</v>
      </c>
      <c r="M121" s="73">
        <f t="shared" si="245"/>
        <v>0</v>
      </c>
      <c r="N121" s="73">
        <f t="shared" si="246"/>
        <v>0</v>
      </c>
      <c r="O121" s="55">
        <f>Parámetros!$E108*12*I121*$P$14</f>
        <v>0</v>
      </c>
      <c r="P121" s="55">
        <f>Parámetros!$E108*12*J121*$P$14</f>
        <v>0</v>
      </c>
      <c r="Q121" s="70">
        <f t="shared" si="225"/>
        <v>0</v>
      </c>
      <c r="R121" s="70">
        <f t="shared" si="226"/>
        <v>0</v>
      </c>
      <c r="S121" s="68">
        <f t="shared" si="270"/>
        <v>0</v>
      </c>
      <c r="T121" s="68">
        <f t="shared" si="271"/>
        <v>0</v>
      </c>
      <c r="U121" s="177"/>
      <c r="V121" s="68">
        <f t="shared" si="266"/>
        <v>0</v>
      </c>
      <c r="W121" s="68">
        <f t="shared" si="267"/>
        <v>0</v>
      </c>
      <c r="X121" s="54">
        <f t="shared" si="278"/>
        <v>0</v>
      </c>
      <c r="Y121" s="54">
        <f t="shared" si="279"/>
        <v>0</v>
      </c>
      <c r="Z121" s="55">
        <f t="shared" si="268"/>
        <v>0</v>
      </c>
      <c r="AA121" s="55">
        <f t="shared" si="269"/>
        <v>0</v>
      </c>
      <c r="AB121" s="53">
        <f>D121*mmater*Parámetros!$G108*$X$5+AB120*(1+i_noc)</f>
        <v>0</v>
      </c>
      <c r="AC121" s="53">
        <f>E121*12*Parámetros!$F108*$X$5+AC120*(1+i_noc)</f>
        <v>1313252.1583104949</v>
      </c>
      <c r="AD121" s="53"/>
      <c r="AE121" s="53"/>
      <c r="AF121" s="175"/>
      <c r="AG121" s="74">
        <f t="shared" si="275"/>
        <v>0</v>
      </c>
      <c r="AH121" s="52">
        <f t="shared" si="276"/>
        <v>0</v>
      </c>
      <c r="AI121" s="56">
        <f t="shared" si="257"/>
        <v>0</v>
      </c>
      <c r="AJ121" s="56">
        <f t="shared" si="258"/>
        <v>0</v>
      </c>
      <c r="AK121" s="56"/>
      <c r="AL121" s="56"/>
      <c r="AM121" s="56"/>
      <c r="AN121" s="56"/>
      <c r="AO121" s="56">
        <f t="shared" si="259"/>
        <v>0</v>
      </c>
      <c r="AP121" s="56">
        <f t="shared" si="260"/>
        <v>0</v>
      </c>
      <c r="AQ121" s="53">
        <f t="shared" si="261"/>
        <v>0</v>
      </c>
      <c r="AR121" s="53">
        <f t="shared" si="262"/>
        <v>0</v>
      </c>
      <c r="AS121" s="39"/>
      <c r="AT121" s="68">
        <f t="shared" si="263"/>
        <v>0</v>
      </c>
      <c r="AU121" s="68">
        <f t="shared" si="264"/>
        <v>0</v>
      </c>
      <c r="AV121" s="68">
        <f t="shared" si="265"/>
        <v>0</v>
      </c>
      <c r="AW121" s="68">
        <f t="shared" si="277"/>
        <v>0</v>
      </c>
      <c r="AX121" s="39"/>
      <c r="AY121" s="39"/>
    </row>
    <row r="122" spans="1:51" x14ac:dyDescent="0.25">
      <c r="A122" s="30">
        <v>2087</v>
      </c>
      <c r="B122" s="33">
        <f>w_uf*UF*Parámetros!C109</f>
        <v>1880985.5537038976</v>
      </c>
      <c r="C122" s="30">
        <f t="shared" si="272"/>
        <v>108</v>
      </c>
      <c r="D122" s="30">
        <f>((A122=Inputs!$C$12)*(Inputs!$D$12) + (A122=Inputs!$C$13)*(Inputs!$D$13) + (A122=Inputs!$C$14)*(Inputs!$D$14)) *(A122 &gt;= a_afil)*(A122&gt;=2024)</f>
        <v>0</v>
      </c>
      <c r="E122" s="30">
        <f>MIN(1,(A122=Inputs!$C$19)*Inputs!$D$19+(A122=Inputs!$C$20)*Inputs!$D$20+(A122=Inputs!$C$21)*Inputs!$D$21*(A122 &gt;= a_afil))</f>
        <v>0</v>
      </c>
      <c r="F122" s="30">
        <f t="shared" si="273"/>
        <v>0</v>
      </c>
      <c r="G122" s="30">
        <f t="shared" si="274"/>
        <v>0</v>
      </c>
      <c r="H122" s="30">
        <v>0.25954133272171021</v>
      </c>
      <c r="I122" s="37">
        <f t="shared" ref="I122:I134" si="280">IF(F122=1,+dens_cot,0)</f>
        <v>0</v>
      </c>
      <c r="J122" s="37">
        <f t="shared" si="256"/>
        <v>0</v>
      </c>
      <c r="K122" s="30">
        <f>1*OR(Inputs!$D$17=$A122,Inputs!$E$17=$A122)*($E122=0)*(F122=1)</f>
        <v>0</v>
      </c>
      <c r="L122" s="30">
        <f>1*OR(Inputs!$D$17=$A122,Inputs!$E$17=$A122)*($E122=0)*(G122=1)</f>
        <v>0</v>
      </c>
      <c r="M122" s="73">
        <f t="shared" si="245"/>
        <v>0</v>
      </c>
      <c r="N122" s="73">
        <f t="shared" si="246"/>
        <v>0</v>
      </c>
      <c r="O122" s="55">
        <f>Parámetros!$E109*12*I122*$P$14</f>
        <v>0</v>
      </c>
      <c r="P122" s="55">
        <f>Parámetros!$E109*12*J122*$P$14</f>
        <v>0</v>
      </c>
      <c r="Q122" s="70">
        <f t="shared" si="225"/>
        <v>0</v>
      </c>
      <c r="R122" s="70">
        <f t="shared" si="226"/>
        <v>0</v>
      </c>
      <c r="S122" s="68">
        <f t="shared" si="270"/>
        <v>0</v>
      </c>
      <c r="T122" s="68">
        <f t="shared" si="271"/>
        <v>0</v>
      </c>
      <c r="U122" s="177"/>
      <c r="V122" s="68">
        <f t="shared" si="266"/>
        <v>0</v>
      </c>
      <c r="W122" s="68">
        <f t="shared" si="267"/>
        <v>0</v>
      </c>
      <c r="X122" s="54">
        <f t="shared" si="278"/>
        <v>0</v>
      </c>
      <c r="Y122" s="54">
        <f t="shared" si="279"/>
        <v>0</v>
      </c>
      <c r="Z122" s="55">
        <f t="shared" si="268"/>
        <v>0</v>
      </c>
      <c r="AA122" s="55">
        <f t="shared" si="269"/>
        <v>0</v>
      </c>
      <c r="AB122" s="53">
        <f>D122*mmater*Parámetros!$G109*$X$5+AB121*(1+i_noc)</f>
        <v>0</v>
      </c>
      <c r="AC122" s="53">
        <f>E122*12*Parámetros!$F109*$X$5+AC121*(1+i_noc)</f>
        <v>1339517.2014767048</v>
      </c>
      <c r="AD122" s="53"/>
      <c r="AE122" s="53"/>
      <c r="AF122" s="175"/>
      <c r="AG122" s="74">
        <f t="shared" si="275"/>
        <v>0</v>
      </c>
      <c r="AH122" s="52">
        <f t="shared" si="276"/>
        <v>0</v>
      </c>
      <c r="AI122" s="56">
        <f t="shared" si="257"/>
        <v>0</v>
      </c>
      <c r="AJ122" s="56">
        <f t="shared" si="258"/>
        <v>0</v>
      </c>
      <c r="AK122" s="56"/>
      <c r="AL122" s="56"/>
      <c r="AM122" s="56"/>
      <c r="AN122" s="56"/>
      <c r="AO122" s="56">
        <f t="shared" si="259"/>
        <v>0</v>
      </c>
      <c r="AP122" s="56">
        <f t="shared" si="260"/>
        <v>0</v>
      </c>
      <c r="AQ122" s="53">
        <f t="shared" si="261"/>
        <v>0</v>
      </c>
      <c r="AR122" s="53">
        <f t="shared" si="262"/>
        <v>0</v>
      </c>
      <c r="AS122" s="39"/>
      <c r="AT122" s="68">
        <f t="shared" si="263"/>
        <v>0</v>
      </c>
      <c r="AU122" s="68">
        <f t="shared" si="264"/>
        <v>0</v>
      </c>
      <c r="AV122" s="68">
        <f t="shared" si="265"/>
        <v>0</v>
      </c>
      <c r="AW122" s="68">
        <f t="shared" si="277"/>
        <v>0</v>
      </c>
      <c r="AX122" s="39"/>
      <c r="AY122" s="39"/>
    </row>
    <row r="123" spans="1:51" x14ac:dyDescent="0.25">
      <c r="A123" s="30">
        <v>2088</v>
      </c>
      <c r="B123" s="33">
        <f>w_uf*UF*Parámetros!C110</f>
        <v>1904497.8731251962</v>
      </c>
      <c r="C123" s="30">
        <f t="shared" si="272"/>
        <v>109</v>
      </c>
      <c r="D123" s="30">
        <f>((A123=Inputs!$C$12)*(Inputs!$D$12) + (A123=Inputs!$C$13)*(Inputs!$D$13) + (A123=Inputs!$C$14)*(Inputs!$D$14)) *(A123 &gt;= a_afil)*(A123&gt;=2024)</f>
        <v>0</v>
      </c>
      <c r="E123" s="30">
        <f>MIN(1,(A123=Inputs!$C$19)*Inputs!$D$19+(A123=Inputs!$C$20)*Inputs!$D$20+(A123=Inputs!$C$21)*Inputs!$D$21*(A123 &gt;= a_afil))</f>
        <v>0</v>
      </c>
      <c r="F123" s="30">
        <f t="shared" si="273"/>
        <v>0</v>
      </c>
      <c r="G123" s="30">
        <f t="shared" si="274"/>
        <v>0</v>
      </c>
      <c r="H123" s="30">
        <v>0.17869353294372559</v>
      </c>
      <c r="I123" s="37">
        <f t="shared" si="280"/>
        <v>0</v>
      </c>
      <c r="J123" s="37">
        <f t="shared" si="256"/>
        <v>0</v>
      </c>
      <c r="K123" s="30">
        <f>1*OR(Inputs!$D$17=$A123,Inputs!$E$17=$A123)*($E123=0)*(F123=1)</f>
        <v>0</v>
      </c>
      <c r="L123" s="30">
        <f>1*OR(Inputs!$D$17=$A123,Inputs!$E$17=$A123)*($E123=0)*(G123=1)</f>
        <v>0</v>
      </c>
      <c r="M123" s="73">
        <f t="shared" si="245"/>
        <v>0</v>
      </c>
      <c r="N123" s="73">
        <f t="shared" si="246"/>
        <v>0</v>
      </c>
      <c r="O123" s="55">
        <f>Parámetros!$E110*12*I123*$P$14</f>
        <v>0</v>
      </c>
      <c r="P123" s="55">
        <f>Parámetros!$E110*12*J123*$P$14</f>
        <v>0</v>
      </c>
      <c r="Q123" s="70">
        <f t="shared" ref="Q123:Q135" si="281">MIN($B123,_xlfn.XLOOKUP($A123,agnos,tope_base)*UF)*12*I123*$X$2</f>
        <v>0</v>
      </c>
      <c r="R123" s="70">
        <f t="shared" ref="R123:R135" si="282">MIN($B123,_xlfn.XLOOKUP($A123,agnos,tope_base)*UF)*12*J123*$X$2</f>
        <v>0</v>
      </c>
      <c r="S123" s="68">
        <f t="shared" si="270"/>
        <v>0</v>
      </c>
      <c r="T123" s="68">
        <f t="shared" si="271"/>
        <v>0</v>
      </c>
      <c r="U123" s="177"/>
      <c r="V123" s="68">
        <f t="shared" si="266"/>
        <v>0</v>
      </c>
      <c r="W123" s="68">
        <f t="shared" si="267"/>
        <v>0</v>
      </c>
      <c r="X123" s="54">
        <f t="shared" si="278"/>
        <v>0</v>
      </c>
      <c r="Y123" s="54">
        <f t="shared" si="279"/>
        <v>0</v>
      </c>
      <c r="Z123" s="55">
        <f t="shared" si="268"/>
        <v>0</v>
      </c>
      <c r="AA123" s="55">
        <f t="shared" si="269"/>
        <v>0</v>
      </c>
      <c r="AB123" s="53">
        <f>D123*mmater*Parámetros!$G110*$X$5+AB122*(1+i_noc)</f>
        <v>0</v>
      </c>
      <c r="AC123" s="53">
        <f>E123*12*Parámetros!$F110*$X$5+AC122*(1+i_noc)</f>
        <v>1366307.5455062389</v>
      </c>
      <c r="AD123" s="53"/>
      <c r="AE123" s="53"/>
      <c r="AF123" s="175"/>
      <c r="AG123" s="74">
        <f t="shared" si="275"/>
        <v>0</v>
      </c>
      <c r="AH123" s="52">
        <f t="shared" si="276"/>
        <v>0</v>
      </c>
      <c r="AI123" s="56">
        <f t="shared" ref="AI123:AI135" si="283">($A123=D$9)*SUM(V123,Z123)/(12*_xlfn.XLOOKUP(AI$15,sexo_cnu,cnu))</f>
        <v>0</v>
      </c>
      <c r="AJ123" s="56">
        <f t="shared" ref="AJ123:AJ135" si="284">($A123=E$9)*SUM(W123,AA123)/(12*_xlfn.XLOOKUP(AJ$15,sexo_cnu,cnu))</f>
        <v>0</v>
      </c>
      <c r="AK123" s="56"/>
      <c r="AL123" s="56"/>
      <c r="AM123" s="56"/>
      <c r="AN123" s="56"/>
      <c r="AO123" s="56">
        <f t="shared" ref="AO123:AO135" si="285">($A123=E$9)*AB123/(12*_xlfn.XLOOKUP(AO$15,sexo_cnu,cnu_noc))</f>
        <v>0</v>
      </c>
      <c r="AP123" s="56">
        <f t="shared" ref="AP123:AP135" si="286">($A123=E$9)*AC123/(12*_xlfn.XLOOKUP(AP$15,sexo_cnu,cnu_noc))</f>
        <v>0</v>
      </c>
      <c r="AQ123" s="53">
        <f t="shared" ref="AQ123:AQ135" si="287">($A123=D$9)*AD123/(12*_xlfn.XLOOKUP(AQ$15,sexo_cnu,cnu_noc))</f>
        <v>0</v>
      </c>
      <c r="AR123" s="53">
        <f t="shared" ref="AR123:AR135" si="288">($A123=E$9)*AE123/(12*_xlfn.XLOOKUP(AR$15,sexo_cnu,cnu_noc))</f>
        <v>0</v>
      </c>
      <c r="AS123" s="39"/>
      <c r="AT123" s="68">
        <f t="shared" ref="AT123:AT135" si="289">IF($A123=a_nac+edad_ret_h,V123/(12*_xlfn.XLOOKUP(AT$15,sexo_cnu,cnu)),0)</f>
        <v>0</v>
      </c>
      <c r="AU123" s="68">
        <f t="shared" ref="AU123:AU135" si="290">IF($A123=a_nac+edad_ret_m,W123/(12*_xlfn.XLOOKUP(AU$15,sexo_cnu,cnu)),0)</f>
        <v>0</v>
      </c>
      <c r="AV123" s="68">
        <f t="shared" ref="AV123:AV135" si="291">IF($A123=a_nac+edad_ret_h,Z123/(12*_xlfn.XLOOKUP(AV$15,sexo_cnu,cnu)),0)</f>
        <v>0</v>
      </c>
      <c r="AW123" s="68">
        <f t="shared" si="277"/>
        <v>0</v>
      </c>
      <c r="AX123" s="39"/>
      <c r="AY123" s="39"/>
    </row>
    <row r="124" spans="1:51" x14ac:dyDescent="0.25">
      <c r="A124" s="30">
        <v>2089</v>
      </c>
      <c r="B124" s="33">
        <f>w_uf*UF*Parámetros!C111</f>
        <v>1928304.0965392611</v>
      </c>
      <c r="C124" s="30">
        <f t="shared" si="272"/>
        <v>110</v>
      </c>
      <c r="D124" s="30">
        <f>((A124=Inputs!$C$12)*(Inputs!$D$12) + (A124=Inputs!$C$13)*(Inputs!$D$13) + (A124=Inputs!$C$14)*(Inputs!$D$14)) *(A124 &gt;= a_afil)*(A124&gt;=2024)</f>
        <v>0</v>
      </c>
      <c r="E124" s="30">
        <f>MIN(1,(A124=Inputs!$C$19)*Inputs!$D$19+(A124=Inputs!$C$20)*Inputs!$D$20+(A124=Inputs!$C$21)*Inputs!$D$21*(A124 &gt;= a_afil))</f>
        <v>0</v>
      </c>
      <c r="F124" s="30">
        <f t="shared" si="273"/>
        <v>0</v>
      </c>
      <c r="G124" s="30">
        <f t="shared" si="274"/>
        <v>0</v>
      </c>
      <c r="H124" s="30">
        <v>0.34695714712142944</v>
      </c>
      <c r="I124" s="37">
        <f t="shared" si="280"/>
        <v>0</v>
      </c>
      <c r="J124" s="37">
        <f t="shared" si="256"/>
        <v>0</v>
      </c>
      <c r="K124" s="30">
        <f>1*OR(Inputs!$D$17=$A124,Inputs!$E$17=$A124)*($E124=0)*(F124=1)</f>
        <v>0</v>
      </c>
      <c r="L124" s="30">
        <f>1*OR(Inputs!$D$17=$A124,Inputs!$E$17=$A124)*($E124=0)*(G124=1)</f>
        <v>0</v>
      </c>
      <c r="M124" s="73">
        <f t="shared" si="245"/>
        <v>0</v>
      </c>
      <c r="N124" s="73">
        <f t="shared" si="246"/>
        <v>0</v>
      </c>
      <c r="O124" s="55">
        <f>Parámetros!$E111*12*I124*$P$14</f>
        <v>0</v>
      </c>
      <c r="P124" s="55">
        <f>Parámetros!$E111*12*J124*$P$14</f>
        <v>0</v>
      </c>
      <c r="Q124" s="70">
        <f t="shared" si="281"/>
        <v>0</v>
      </c>
      <c r="R124" s="70">
        <f t="shared" si="282"/>
        <v>0</v>
      </c>
      <c r="S124" s="68">
        <f t="shared" si="270"/>
        <v>0</v>
      </c>
      <c r="T124" s="68">
        <f t="shared" si="271"/>
        <v>0</v>
      </c>
      <c r="U124" s="177"/>
      <c r="V124" s="68">
        <f t="shared" si="266"/>
        <v>0</v>
      </c>
      <c r="W124" s="68">
        <f t="shared" si="267"/>
        <v>0</v>
      </c>
      <c r="X124" s="54">
        <f t="shared" si="278"/>
        <v>0</v>
      </c>
      <c r="Y124" s="54">
        <f t="shared" si="279"/>
        <v>0</v>
      </c>
      <c r="Z124" s="55">
        <f t="shared" si="268"/>
        <v>0</v>
      </c>
      <c r="AA124" s="55">
        <f t="shared" si="269"/>
        <v>0</v>
      </c>
      <c r="AB124" s="53">
        <f>D124*mmater*Parámetros!$G111*$X$5+AB123*(1+i_noc)</f>
        <v>0</v>
      </c>
      <c r="AC124" s="53">
        <f>E124*12*Parámetros!$F111*$X$5+AC123*(1+i_noc)</f>
        <v>1393633.6964163638</v>
      </c>
      <c r="AD124" s="53"/>
      <c r="AE124" s="53"/>
      <c r="AF124" s="175"/>
      <c r="AG124" s="74">
        <f t="shared" si="275"/>
        <v>0</v>
      </c>
      <c r="AH124" s="52">
        <f t="shared" si="276"/>
        <v>0</v>
      </c>
      <c r="AI124" s="56">
        <f t="shared" si="283"/>
        <v>0</v>
      </c>
      <c r="AJ124" s="56">
        <f t="shared" si="284"/>
        <v>0</v>
      </c>
      <c r="AK124" s="56"/>
      <c r="AL124" s="56"/>
      <c r="AM124" s="56"/>
      <c r="AN124" s="56"/>
      <c r="AO124" s="56">
        <f t="shared" si="285"/>
        <v>0</v>
      </c>
      <c r="AP124" s="56">
        <f t="shared" si="286"/>
        <v>0</v>
      </c>
      <c r="AQ124" s="53">
        <f t="shared" si="287"/>
        <v>0</v>
      </c>
      <c r="AR124" s="53">
        <f t="shared" si="288"/>
        <v>0</v>
      </c>
      <c r="AS124" s="39"/>
      <c r="AT124" s="68">
        <f t="shared" si="289"/>
        <v>0</v>
      </c>
      <c r="AU124" s="68">
        <f t="shared" si="290"/>
        <v>0</v>
      </c>
      <c r="AV124" s="68">
        <f t="shared" si="291"/>
        <v>0</v>
      </c>
      <c r="AW124" s="68">
        <f t="shared" si="277"/>
        <v>0</v>
      </c>
      <c r="AX124" s="39"/>
      <c r="AY124" s="39"/>
    </row>
    <row r="125" spans="1:51" x14ac:dyDescent="0.25">
      <c r="A125" s="30">
        <v>2090</v>
      </c>
      <c r="B125" s="33">
        <f>w_uf*UF*Parámetros!C112</f>
        <v>1952407.8977460021</v>
      </c>
      <c r="C125" s="30" t="str">
        <f t="shared" si="272"/>
        <v/>
      </c>
      <c r="D125" s="30">
        <f>((A125=Inputs!$C$12)*(Inputs!$D$12) + (A125=Inputs!$C$13)*(Inputs!$D$13) + (A125=Inputs!$C$14)*(Inputs!$D$14)) *(A125 &gt;= a_afil)*(A125&gt;=2024)</f>
        <v>0</v>
      </c>
      <c r="E125" s="30">
        <f>MIN(1,(A125=Inputs!$C$19)*Inputs!$D$19+(A125=Inputs!$C$20)*Inputs!$D$20+(A125=Inputs!$C$21)*Inputs!$D$21*(A125 &gt;= a_afil))</f>
        <v>0</v>
      </c>
      <c r="F125" s="30">
        <f t="shared" si="273"/>
        <v>0</v>
      </c>
      <c r="G125" s="30">
        <f t="shared" si="274"/>
        <v>0</v>
      </c>
      <c r="H125" s="30">
        <v>2.5056600570678711E-3</v>
      </c>
      <c r="I125" s="37">
        <f t="shared" si="280"/>
        <v>0</v>
      </c>
      <c r="J125" s="37">
        <f t="shared" si="256"/>
        <v>0</v>
      </c>
      <c r="K125" s="30">
        <f>1*OR(Inputs!$D$17=$A125,Inputs!$E$17=$A125)*($E125=0)*(F125=1)</f>
        <v>0</v>
      </c>
      <c r="L125" s="30">
        <f>1*OR(Inputs!$D$17=$A125,Inputs!$E$17=$A125)*($E125=0)*(G125=1)</f>
        <v>0</v>
      </c>
      <c r="M125" s="73">
        <f t="shared" si="245"/>
        <v>0</v>
      </c>
      <c r="N125" s="73">
        <f t="shared" si="246"/>
        <v>0</v>
      </c>
      <c r="O125" s="55">
        <f>Parámetros!$E112*12*I125*$P$14</f>
        <v>0</v>
      </c>
      <c r="P125" s="55">
        <f>Parámetros!$E112*12*J125*$P$14</f>
        <v>0</v>
      </c>
      <c r="Q125" s="70">
        <f t="shared" si="281"/>
        <v>0</v>
      </c>
      <c r="R125" s="70">
        <f t="shared" si="282"/>
        <v>0</v>
      </c>
      <c r="S125" s="68">
        <f t="shared" si="270"/>
        <v>0</v>
      </c>
      <c r="T125" s="68">
        <f t="shared" si="271"/>
        <v>0</v>
      </c>
      <c r="U125" s="177"/>
      <c r="V125" s="68">
        <f t="shared" ref="V125:V135" si="292">M125*alpha+O125*(1-alpha)+F124*V124*(1+_xlfn.XLOOKUP(MIN(2024,$A124),agnos_rent,rent_base))*(1-$X$6)</f>
        <v>0</v>
      </c>
      <c r="W125" s="68">
        <f t="shared" ref="W125:W135" si="293">N125*alpha+P125*(1-alpha)+G124*W124*(1+_xlfn.XLOOKUP(MIN(2024,$A124),agnos_rent,rent_base))*(1-$X$6)</f>
        <v>0</v>
      </c>
      <c r="X125" s="54">
        <f t="shared" si="278"/>
        <v>0</v>
      </c>
      <c r="Y125" s="54">
        <f t="shared" si="279"/>
        <v>0</v>
      </c>
      <c r="Z125" s="55">
        <f t="shared" ref="Z125:Z135" si="294">F124*Z124*(1+_xlfn.XLOOKUP(MIN(2024,$A124),agnos_rent,rent_base))*(1-$X$6)+S125</f>
        <v>0</v>
      </c>
      <c r="AA125" s="55">
        <f t="shared" ref="AA125:AA135" si="295">G124*AA124*(1+_xlfn.XLOOKUP(MIN(2024,$A124),agnos_rent,rent_base))*(1-$X$6)+T125</f>
        <v>0</v>
      </c>
      <c r="AB125" s="53">
        <f>D125*mmater*Parámetros!$G112*$X$5+AB124*(1+i_noc)</f>
        <v>0</v>
      </c>
      <c r="AC125" s="53">
        <f>E125*12*Parámetros!$F112*$X$5+AC124*(1+i_noc)</f>
        <v>1421506.3703446912</v>
      </c>
      <c r="AD125" s="53"/>
      <c r="AE125" s="53"/>
      <c r="AF125" s="175"/>
      <c r="AG125" s="74">
        <f t="shared" si="275"/>
        <v>0</v>
      </c>
      <c r="AH125" s="52">
        <f t="shared" si="276"/>
        <v>0</v>
      </c>
      <c r="AI125" s="56">
        <f t="shared" si="283"/>
        <v>0</v>
      </c>
      <c r="AJ125" s="56">
        <f t="shared" si="284"/>
        <v>0</v>
      </c>
      <c r="AK125" s="56"/>
      <c r="AL125" s="56"/>
      <c r="AM125" s="56"/>
      <c r="AN125" s="56"/>
      <c r="AO125" s="56">
        <f t="shared" si="285"/>
        <v>0</v>
      </c>
      <c r="AP125" s="56">
        <f t="shared" si="286"/>
        <v>0</v>
      </c>
      <c r="AQ125" s="53">
        <f t="shared" si="287"/>
        <v>0</v>
      </c>
      <c r="AR125" s="53">
        <f t="shared" si="288"/>
        <v>0</v>
      </c>
      <c r="AS125" s="39"/>
      <c r="AT125" s="68">
        <f t="shared" si="289"/>
        <v>0</v>
      </c>
      <c r="AU125" s="68">
        <f t="shared" si="290"/>
        <v>0</v>
      </c>
      <c r="AV125" s="68">
        <f t="shared" si="291"/>
        <v>0</v>
      </c>
      <c r="AW125" s="68">
        <f t="shared" si="277"/>
        <v>0</v>
      </c>
      <c r="AX125" s="39"/>
      <c r="AY125" s="39"/>
    </row>
    <row r="126" spans="1:51" x14ac:dyDescent="0.25">
      <c r="A126" s="30">
        <v>2091</v>
      </c>
      <c r="B126" s="33">
        <f>w_uf*UF*Parámetros!C113</f>
        <v>1976812.9964678269</v>
      </c>
      <c r="C126" s="30" t="str">
        <f t="shared" si="272"/>
        <v/>
      </c>
      <c r="D126" s="30">
        <f>((A126=Inputs!$C$12)*(Inputs!$D$12) + (A126=Inputs!$C$13)*(Inputs!$D$13) + (A126=Inputs!$C$14)*(Inputs!$D$14)) *(A126 &gt;= a_afil)*(A126&gt;=2024)</f>
        <v>0</v>
      </c>
      <c r="E126" s="30">
        <f>MIN(1,(A126=Inputs!$C$19)*Inputs!$D$19+(A126=Inputs!$C$20)*Inputs!$D$20+(A126=Inputs!$C$21)*Inputs!$D$21*(A126 &gt;= a_afil))</f>
        <v>0</v>
      </c>
      <c r="F126" s="30">
        <f t="shared" si="273"/>
        <v>0</v>
      </c>
      <c r="G126" s="30">
        <f t="shared" si="274"/>
        <v>0</v>
      </c>
      <c r="H126" s="30">
        <v>0.74234205484390259</v>
      </c>
      <c r="I126" s="37">
        <f t="shared" si="280"/>
        <v>0</v>
      </c>
      <c r="J126" s="37">
        <f t="shared" si="256"/>
        <v>0</v>
      </c>
      <c r="K126" s="30">
        <f>1*OR(Inputs!$D$17=$A126,Inputs!$E$17=$A126)*($E126=0)*(F126=1)</f>
        <v>0</v>
      </c>
      <c r="L126" s="30">
        <f>1*OR(Inputs!$D$17=$A126,Inputs!$E$17=$A126)*($E126=0)*(G126=1)</f>
        <v>0</v>
      </c>
      <c r="M126" s="73">
        <f t="shared" si="245"/>
        <v>0</v>
      </c>
      <c r="N126" s="73">
        <f t="shared" si="246"/>
        <v>0</v>
      </c>
      <c r="O126" s="55">
        <f>Parámetros!$E113*12*I126*$P$14</f>
        <v>0</v>
      </c>
      <c r="P126" s="55">
        <f>Parámetros!$E113*12*J126*$P$14</f>
        <v>0</v>
      </c>
      <c r="Q126" s="70">
        <f t="shared" si="281"/>
        <v>0</v>
      </c>
      <c r="R126" s="70">
        <f t="shared" si="282"/>
        <v>0</v>
      </c>
      <c r="S126" s="68">
        <f t="shared" si="270"/>
        <v>0</v>
      </c>
      <c r="T126" s="68">
        <f t="shared" si="271"/>
        <v>0</v>
      </c>
      <c r="U126" s="177"/>
      <c r="V126" s="68">
        <f t="shared" si="292"/>
        <v>0</v>
      </c>
      <c r="W126" s="68">
        <f t="shared" si="293"/>
        <v>0</v>
      </c>
      <c r="X126" s="54">
        <f t="shared" si="278"/>
        <v>0</v>
      </c>
      <c r="Y126" s="54">
        <f t="shared" si="279"/>
        <v>0</v>
      </c>
      <c r="Z126" s="55">
        <f t="shared" si="294"/>
        <v>0</v>
      </c>
      <c r="AA126" s="55">
        <f t="shared" si="295"/>
        <v>0</v>
      </c>
      <c r="AB126" s="53">
        <f>D126*mmater*Parámetros!$G113*$X$5+AB125*(1+i_noc)</f>
        <v>0</v>
      </c>
      <c r="AC126" s="53">
        <f>E126*12*Parámetros!$F113*$X$5+AC125*(1+i_noc)</f>
        <v>1449936.497751585</v>
      </c>
      <c r="AD126" s="53"/>
      <c r="AE126" s="53"/>
      <c r="AF126" s="175"/>
      <c r="AG126" s="74">
        <f t="shared" si="275"/>
        <v>0</v>
      </c>
      <c r="AH126" s="52">
        <f t="shared" si="276"/>
        <v>0</v>
      </c>
      <c r="AI126" s="56">
        <f t="shared" si="283"/>
        <v>0</v>
      </c>
      <c r="AJ126" s="56">
        <f t="shared" si="284"/>
        <v>0</v>
      </c>
      <c r="AK126" s="56"/>
      <c r="AL126" s="56"/>
      <c r="AM126" s="56"/>
      <c r="AN126" s="56"/>
      <c r="AO126" s="56">
        <f t="shared" si="285"/>
        <v>0</v>
      </c>
      <c r="AP126" s="56">
        <f t="shared" si="286"/>
        <v>0</v>
      </c>
      <c r="AQ126" s="53">
        <f t="shared" si="287"/>
        <v>0</v>
      </c>
      <c r="AR126" s="53">
        <f t="shared" si="288"/>
        <v>0</v>
      </c>
      <c r="AS126" s="39"/>
      <c r="AT126" s="68">
        <f t="shared" si="289"/>
        <v>0</v>
      </c>
      <c r="AU126" s="68">
        <f t="shared" si="290"/>
        <v>0</v>
      </c>
      <c r="AV126" s="68">
        <f t="shared" si="291"/>
        <v>0</v>
      </c>
      <c r="AW126" s="68">
        <f t="shared" si="277"/>
        <v>0</v>
      </c>
      <c r="AX126" s="39"/>
      <c r="AY126" s="39"/>
    </row>
    <row r="127" spans="1:51" x14ac:dyDescent="0.25">
      <c r="A127" s="30">
        <v>2092</v>
      </c>
      <c r="B127" s="33">
        <f>w_uf*UF*Parámetros!C114</f>
        <v>2001523.1589236746</v>
      </c>
      <c r="C127" s="30" t="str">
        <f t="shared" si="272"/>
        <v/>
      </c>
      <c r="D127" s="30">
        <f>((A127=Inputs!$C$12)*(Inputs!$D$12) + (A127=Inputs!$C$13)*(Inputs!$D$13) + (A127=Inputs!$C$14)*(Inputs!$D$14)) *(A127 &gt;= a_afil)*(A127&gt;=2024)</f>
        <v>0</v>
      </c>
      <c r="E127" s="30">
        <f>MIN(1,(A127=Inputs!$C$19)*Inputs!$D$19+(A127=Inputs!$C$20)*Inputs!$D$20+(A127=Inputs!$C$21)*Inputs!$D$21*(A127 &gt;= a_afil))</f>
        <v>0</v>
      </c>
      <c r="F127" s="30">
        <f t="shared" si="273"/>
        <v>0</v>
      </c>
      <c r="G127" s="30">
        <f t="shared" si="274"/>
        <v>0</v>
      </c>
      <c r="H127" s="30">
        <v>0.84088706970214844</v>
      </c>
      <c r="I127" s="37">
        <f t="shared" si="280"/>
        <v>0</v>
      </c>
      <c r="J127" s="37">
        <f t="shared" si="256"/>
        <v>0</v>
      </c>
      <c r="K127" s="30">
        <f>1*OR(Inputs!$D$17=$A127,Inputs!$E$17=$A127)*($E127=0)*(F127=1)</f>
        <v>0</v>
      </c>
      <c r="L127" s="30">
        <f>1*OR(Inputs!$D$17=$A127,Inputs!$E$17=$A127)*($E127=0)*(G127=1)</f>
        <v>0</v>
      </c>
      <c r="M127" s="73">
        <f t="shared" si="245"/>
        <v>0</v>
      </c>
      <c r="N127" s="73">
        <f t="shared" si="246"/>
        <v>0</v>
      </c>
      <c r="O127" s="55">
        <f>Parámetros!$E114*12*I127*$P$14</f>
        <v>0</v>
      </c>
      <c r="P127" s="55">
        <f>Parámetros!$E114*12*J127*$P$14</f>
        <v>0</v>
      </c>
      <c r="Q127" s="70">
        <f t="shared" si="281"/>
        <v>0</v>
      </c>
      <c r="R127" s="70">
        <f t="shared" si="282"/>
        <v>0</v>
      </c>
      <c r="S127" s="68">
        <f t="shared" si="270"/>
        <v>0</v>
      </c>
      <c r="T127" s="68">
        <f t="shared" si="271"/>
        <v>0</v>
      </c>
      <c r="U127" s="177"/>
      <c r="V127" s="68">
        <f t="shared" si="292"/>
        <v>0</v>
      </c>
      <c r="W127" s="68">
        <f t="shared" si="293"/>
        <v>0</v>
      </c>
      <c r="X127" s="54">
        <f t="shared" si="278"/>
        <v>0</v>
      </c>
      <c r="Y127" s="54">
        <f t="shared" si="279"/>
        <v>0</v>
      </c>
      <c r="Z127" s="55">
        <f t="shared" si="294"/>
        <v>0</v>
      </c>
      <c r="AA127" s="55">
        <f t="shared" si="295"/>
        <v>0</v>
      </c>
      <c r="AB127" s="53">
        <f>D127*mmater*Parámetros!$G114*$X$5+AB126*(1+i_noc)</f>
        <v>0</v>
      </c>
      <c r="AC127" s="53">
        <f>E127*12*Parámetros!$F114*$X$5+AC126*(1+i_noc)</f>
        <v>1478935.2277066167</v>
      </c>
      <c r="AD127" s="53"/>
      <c r="AE127" s="53"/>
      <c r="AF127" s="175"/>
      <c r="AG127" s="74">
        <f t="shared" si="275"/>
        <v>0</v>
      </c>
      <c r="AH127" s="52">
        <f t="shared" si="276"/>
        <v>0</v>
      </c>
      <c r="AI127" s="56">
        <f t="shared" si="283"/>
        <v>0</v>
      </c>
      <c r="AJ127" s="56">
        <f t="shared" si="284"/>
        <v>0</v>
      </c>
      <c r="AK127" s="56"/>
      <c r="AL127" s="56"/>
      <c r="AM127" s="56"/>
      <c r="AN127" s="56"/>
      <c r="AO127" s="56">
        <f t="shared" si="285"/>
        <v>0</v>
      </c>
      <c r="AP127" s="56">
        <f t="shared" si="286"/>
        <v>0</v>
      </c>
      <c r="AQ127" s="53">
        <f t="shared" si="287"/>
        <v>0</v>
      </c>
      <c r="AR127" s="53">
        <f t="shared" si="288"/>
        <v>0</v>
      </c>
      <c r="AS127" s="39"/>
      <c r="AT127" s="68">
        <f t="shared" si="289"/>
        <v>0</v>
      </c>
      <c r="AU127" s="68">
        <f t="shared" si="290"/>
        <v>0</v>
      </c>
      <c r="AV127" s="68">
        <f t="shared" si="291"/>
        <v>0</v>
      </c>
      <c r="AW127" s="68">
        <f t="shared" si="277"/>
        <v>0</v>
      </c>
      <c r="AX127" s="39"/>
      <c r="AY127" s="39"/>
    </row>
    <row r="128" spans="1:51" x14ac:dyDescent="0.25">
      <c r="A128" s="30">
        <v>2093</v>
      </c>
      <c r="B128" s="33">
        <f>w_uf*UF*Parámetros!C115</f>
        <v>2026542.1984102204</v>
      </c>
      <c r="C128" s="30" t="str">
        <f t="shared" si="272"/>
        <v/>
      </c>
      <c r="D128" s="30">
        <f>((A128=Inputs!$C$12)*(Inputs!$D$12) + (A128=Inputs!$C$13)*(Inputs!$D$13) + (A128=Inputs!$C$14)*(Inputs!$D$14)) *(A128 &gt;= a_afil)*(A128&gt;=2024)</f>
        <v>0</v>
      </c>
      <c r="E128" s="30">
        <f>MIN(1,(A128=Inputs!$C$19)*Inputs!$D$19+(A128=Inputs!$C$20)*Inputs!$D$20+(A128=Inputs!$C$21)*Inputs!$D$21*(A128 &gt;= a_afil))</f>
        <v>0</v>
      </c>
      <c r="F128" s="30">
        <f t="shared" si="273"/>
        <v>0</v>
      </c>
      <c r="G128" s="30">
        <f t="shared" si="274"/>
        <v>0</v>
      </c>
      <c r="H128" s="30">
        <v>0.27858942747116089</v>
      </c>
      <c r="I128" s="37">
        <f t="shared" si="280"/>
        <v>0</v>
      </c>
      <c r="J128" s="37">
        <f t="shared" si="256"/>
        <v>0</v>
      </c>
      <c r="K128" s="30">
        <f>1*OR(Inputs!$D$17=$A128,Inputs!$E$17=$A128)*($E128=0)*(F128=1)</f>
        <v>0</v>
      </c>
      <c r="L128" s="30">
        <f>1*OR(Inputs!$D$17=$A128,Inputs!$E$17=$A128)*($E128=0)*(G128=1)</f>
        <v>0</v>
      </c>
      <c r="M128" s="73">
        <f t="shared" si="245"/>
        <v>0</v>
      </c>
      <c r="N128" s="73">
        <f t="shared" si="246"/>
        <v>0</v>
      </c>
      <c r="O128" s="55">
        <f>Parámetros!$E115*12*I128*$P$14</f>
        <v>0</v>
      </c>
      <c r="P128" s="55">
        <f>Parámetros!$E115*12*J128*$P$14</f>
        <v>0</v>
      </c>
      <c r="Q128" s="70">
        <f t="shared" si="281"/>
        <v>0</v>
      </c>
      <c r="R128" s="70">
        <f t="shared" si="282"/>
        <v>0</v>
      </c>
      <c r="S128" s="68">
        <f t="shared" ref="S128:S135" si="296">MIN($B128,_xlfn.XLOOKUP($A128,agnos,tope_ref_ind)*UF) * (12*I128*$X$3 +  K128*_xlfn.XLOOKUP(n_mes_laguna,giros_sc,tr_sc_acum)*($X$3+$X$4))</f>
        <v>0</v>
      </c>
      <c r="T128" s="68">
        <f t="shared" ref="T128:T135" si="297">MIN($B128,_xlfn.XLOOKUP($A128,agnos,tope_ref_ind)*UF) * (12*J128*$X$3 +  L128*_xlfn.XLOOKUP(n_mes_laguna,giros_sc,tr_sc_acum)*($X$3+$X$4))</f>
        <v>0</v>
      </c>
      <c r="U128" s="177"/>
      <c r="V128" s="68">
        <f t="shared" si="292"/>
        <v>0</v>
      </c>
      <c r="W128" s="68">
        <f t="shared" si="293"/>
        <v>0</v>
      </c>
      <c r="X128" s="54">
        <f t="shared" si="278"/>
        <v>0</v>
      </c>
      <c r="Y128" s="54">
        <f t="shared" si="279"/>
        <v>0</v>
      </c>
      <c r="Z128" s="55">
        <f t="shared" si="294"/>
        <v>0</v>
      </c>
      <c r="AA128" s="55">
        <f t="shared" si="295"/>
        <v>0</v>
      </c>
      <c r="AB128" s="53">
        <f>D128*mmater*Parámetros!$G115*$X$5+AB127*(1+i_noc)</f>
        <v>0</v>
      </c>
      <c r="AC128" s="53">
        <f>E128*12*Parámetros!$F115*$X$5+AC127*(1+i_noc)</f>
        <v>1508513.9322607492</v>
      </c>
      <c r="AD128" s="53"/>
      <c r="AE128" s="53"/>
      <c r="AF128" s="175"/>
      <c r="AG128" s="74">
        <f t="shared" si="275"/>
        <v>0</v>
      </c>
      <c r="AH128" s="52">
        <f t="shared" si="276"/>
        <v>0</v>
      </c>
      <c r="AI128" s="56">
        <f t="shared" si="283"/>
        <v>0</v>
      </c>
      <c r="AJ128" s="56">
        <f t="shared" si="284"/>
        <v>0</v>
      </c>
      <c r="AK128" s="56"/>
      <c r="AL128" s="56"/>
      <c r="AM128" s="56"/>
      <c r="AN128" s="56"/>
      <c r="AO128" s="56">
        <f t="shared" si="285"/>
        <v>0</v>
      </c>
      <c r="AP128" s="56">
        <f t="shared" si="286"/>
        <v>0</v>
      </c>
      <c r="AQ128" s="53">
        <f t="shared" si="287"/>
        <v>0</v>
      </c>
      <c r="AR128" s="53">
        <f t="shared" si="288"/>
        <v>0</v>
      </c>
      <c r="AS128" s="39"/>
      <c r="AT128" s="68">
        <f t="shared" si="289"/>
        <v>0</v>
      </c>
      <c r="AU128" s="68">
        <f t="shared" si="290"/>
        <v>0</v>
      </c>
      <c r="AV128" s="68">
        <f t="shared" si="291"/>
        <v>0</v>
      </c>
      <c r="AW128" s="68">
        <f t="shared" si="277"/>
        <v>0</v>
      </c>
      <c r="AX128" s="39"/>
      <c r="AY128" s="39"/>
    </row>
    <row r="129" spans="1:53" x14ac:dyDescent="0.25">
      <c r="A129" s="30">
        <v>2094</v>
      </c>
      <c r="B129" s="33">
        <f>w_uf*UF*Parámetros!C116</f>
        <v>2051873.9758903482</v>
      </c>
      <c r="C129" s="30" t="str">
        <f t="shared" si="272"/>
        <v/>
      </c>
      <c r="D129" s="30">
        <f>((A129=Inputs!$C$12)*(Inputs!$D$12) + (A129=Inputs!$C$13)*(Inputs!$D$13) + (A129=Inputs!$C$14)*(Inputs!$D$14)) *(A129 &gt;= a_afil)*(A129&gt;=2024)</f>
        <v>0</v>
      </c>
      <c r="E129" s="30">
        <f>MIN(1,(A129=Inputs!$C$19)*Inputs!$D$19+(A129=Inputs!$C$20)*Inputs!$D$20+(A129=Inputs!$C$21)*Inputs!$D$21*(A129 &gt;= a_afil))</f>
        <v>0</v>
      </c>
      <c r="F129" s="30">
        <f t="shared" si="273"/>
        <v>0</v>
      </c>
      <c r="G129" s="30">
        <f t="shared" si="274"/>
        <v>0</v>
      </c>
      <c r="H129" s="30">
        <v>0.70297014713287354</v>
      </c>
      <c r="I129" s="37">
        <f t="shared" si="280"/>
        <v>0</v>
      </c>
      <c r="J129" s="37">
        <f t="shared" si="256"/>
        <v>0</v>
      </c>
      <c r="K129" s="30">
        <f>1*OR(Inputs!$D$17=$A129,Inputs!$E$17=$A129)*($E129=0)*(F129=1)</f>
        <v>0</v>
      </c>
      <c r="L129" s="30">
        <f>1*OR(Inputs!$D$17=$A129,Inputs!$E$17=$A129)*($E129=0)*(G129=1)</f>
        <v>0</v>
      </c>
      <c r="M129" s="73">
        <f t="shared" ref="M129:M135" si="298">MIN($B129,_xlfn.XLOOKUP($A129,agnos,tope_ref_ind)*UF)*12*I129*$N$14</f>
        <v>0</v>
      </c>
      <c r="N129" s="73">
        <f t="shared" ref="N129:N135" si="299">MIN($B129,_xlfn.XLOOKUP($A129,agnos,tope_ref_ind)*UF)*12*J129*$N$14</f>
        <v>0</v>
      </c>
      <c r="O129" s="55">
        <f>Parámetros!$E116*12*I129*$P$14</f>
        <v>0</v>
      </c>
      <c r="P129" s="55">
        <f>Parámetros!$E116*12*J129*$P$14</f>
        <v>0</v>
      </c>
      <c r="Q129" s="70">
        <f t="shared" si="281"/>
        <v>0</v>
      </c>
      <c r="R129" s="70">
        <f t="shared" si="282"/>
        <v>0</v>
      </c>
      <c r="S129" s="68">
        <f t="shared" si="296"/>
        <v>0</v>
      </c>
      <c r="T129" s="68">
        <f t="shared" si="297"/>
        <v>0</v>
      </c>
      <c r="U129" s="177"/>
      <c r="V129" s="68">
        <f t="shared" si="292"/>
        <v>0</v>
      </c>
      <c r="W129" s="68">
        <f t="shared" si="293"/>
        <v>0</v>
      </c>
      <c r="X129" s="54">
        <f t="shared" si="278"/>
        <v>0</v>
      </c>
      <c r="Y129" s="54">
        <f t="shared" si="279"/>
        <v>0</v>
      </c>
      <c r="Z129" s="55">
        <f t="shared" si="294"/>
        <v>0</v>
      </c>
      <c r="AA129" s="55">
        <f t="shared" si="295"/>
        <v>0</v>
      </c>
      <c r="AB129" s="53">
        <f>D129*mmater*Parámetros!$G116*$X$5+AB128*(1+i_noc)</f>
        <v>0</v>
      </c>
      <c r="AC129" s="53">
        <f>E129*12*Parámetros!$F116*$X$5+AC128*(1+i_noc)</f>
        <v>1538684.2109059643</v>
      </c>
      <c r="AD129" s="53"/>
      <c r="AE129" s="53"/>
      <c r="AF129" s="175"/>
      <c r="AG129" s="74">
        <f t="shared" si="275"/>
        <v>0</v>
      </c>
      <c r="AH129" s="52">
        <f t="shared" si="276"/>
        <v>0</v>
      </c>
      <c r="AI129" s="56">
        <f t="shared" si="283"/>
        <v>0</v>
      </c>
      <c r="AJ129" s="56">
        <f t="shared" si="284"/>
        <v>0</v>
      </c>
      <c r="AK129" s="56"/>
      <c r="AL129" s="56"/>
      <c r="AM129" s="56"/>
      <c r="AN129" s="56"/>
      <c r="AO129" s="56">
        <f t="shared" si="285"/>
        <v>0</v>
      </c>
      <c r="AP129" s="56">
        <f t="shared" si="286"/>
        <v>0</v>
      </c>
      <c r="AQ129" s="53">
        <f t="shared" si="287"/>
        <v>0</v>
      </c>
      <c r="AR129" s="53">
        <f t="shared" si="288"/>
        <v>0</v>
      </c>
      <c r="AS129" s="39"/>
      <c r="AT129" s="68">
        <f t="shared" si="289"/>
        <v>0</v>
      </c>
      <c r="AU129" s="68">
        <f t="shared" si="290"/>
        <v>0</v>
      </c>
      <c r="AV129" s="68">
        <f t="shared" si="291"/>
        <v>0</v>
      </c>
      <c r="AW129" s="68">
        <f t="shared" si="277"/>
        <v>0</v>
      </c>
      <c r="AX129" s="39"/>
      <c r="AY129" s="39"/>
    </row>
    <row r="130" spans="1:53" x14ac:dyDescent="0.25">
      <c r="A130" s="30">
        <v>2095</v>
      </c>
      <c r="B130" s="33">
        <f>w_uf*UF*Parámetros!C117</f>
        <v>2077522.4005889776</v>
      </c>
      <c r="C130" s="30" t="str">
        <f t="shared" si="272"/>
        <v/>
      </c>
      <c r="D130" s="30">
        <f>((A130=Inputs!$C$12)*(Inputs!$D$12) + (A130=Inputs!$C$13)*(Inputs!$D$13) + (A130=Inputs!$C$14)*(Inputs!$D$14)) *(A130 &gt;= a_afil)*(A130&gt;=2024)</f>
        <v>0</v>
      </c>
      <c r="E130" s="30">
        <f>MIN(1,(A130=Inputs!$C$19)*Inputs!$D$19+(A130=Inputs!$C$20)*Inputs!$D$20+(A130=Inputs!$C$21)*Inputs!$D$21*(A130 &gt;= a_afil))</f>
        <v>0</v>
      </c>
      <c r="F130" s="30">
        <f t="shared" si="273"/>
        <v>0</v>
      </c>
      <c r="G130" s="30">
        <f t="shared" si="274"/>
        <v>0</v>
      </c>
      <c r="H130" s="30">
        <v>0.4048646092414856</v>
      </c>
      <c r="I130" s="37">
        <f t="shared" si="280"/>
        <v>0</v>
      </c>
      <c r="J130" s="37">
        <f t="shared" si="256"/>
        <v>0</v>
      </c>
      <c r="K130" s="30">
        <f>1*OR(Inputs!$D$17=$A130,Inputs!$E$17=$A130)*($E130=0)*(F130=1)</f>
        <v>0</v>
      </c>
      <c r="L130" s="30">
        <f>1*OR(Inputs!$D$17=$A130,Inputs!$E$17=$A130)*($E130=0)*(G130=1)</f>
        <v>0</v>
      </c>
      <c r="M130" s="73">
        <f t="shared" si="298"/>
        <v>0</v>
      </c>
      <c r="N130" s="73">
        <f t="shared" si="299"/>
        <v>0</v>
      </c>
      <c r="O130" s="55">
        <f>Parámetros!$E117*12*I130*$P$14</f>
        <v>0</v>
      </c>
      <c r="P130" s="55">
        <f>Parámetros!$E117*12*J130*$P$14</f>
        <v>0</v>
      </c>
      <c r="Q130" s="70">
        <f t="shared" si="281"/>
        <v>0</v>
      </c>
      <c r="R130" s="70">
        <f t="shared" si="282"/>
        <v>0</v>
      </c>
      <c r="S130" s="68">
        <f t="shared" si="296"/>
        <v>0</v>
      </c>
      <c r="T130" s="68">
        <f t="shared" si="297"/>
        <v>0</v>
      </c>
      <c r="U130" s="177"/>
      <c r="V130" s="68">
        <f t="shared" si="292"/>
        <v>0</v>
      </c>
      <c r="W130" s="68">
        <f t="shared" si="293"/>
        <v>0</v>
      </c>
      <c r="X130" s="54">
        <f t="shared" si="278"/>
        <v>0</v>
      </c>
      <c r="Y130" s="54">
        <f t="shared" si="279"/>
        <v>0</v>
      </c>
      <c r="Z130" s="55">
        <f t="shared" si="294"/>
        <v>0</v>
      </c>
      <c r="AA130" s="55">
        <f t="shared" si="295"/>
        <v>0</v>
      </c>
      <c r="AB130" s="53">
        <f>D130*mmater*Parámetros!$G117*$X$5+AB129*(1+i_noc)</f>
        <v>0</v>
      </c>
      <c r="AC130" s="53">
        <f>E130*12*Parámetros!$F117*$X$5+AC129*(1+i_noc)</f>
        <v>1569457.8951240836</v>
      </c>
      <c r="AD130" s="53"/>
      <c r="AE130" s="53"/>
      <c r="AF130" s="175"/>
      <c r="AG130" s="74">
        <f t="shared" si="275"/>
        <v>0</v>
      </c>
      <c r="AH130" s="52">
        <f t="shared" si="276"/>
        <v>0</v>
      </c>
      <c r="AI130" s="56">
        <f t="shared" si="283"/>
        <v>0</v>
      </c>
      <c r="AJ130" s="56">
        <f t="shared" si="284"/>
        <v>0</v>
      </c>
      <c r="AK130" s="56"/>
      <c r="AL130" s="56"/>
      <c r="AM130" s="56"/>
      <c r="AN130" s="56"/>
      <c r="AO130" s="56">
        <f t="shared" si="285"/>
        <v>0</v>
      </c>
      <c r="AP130" s="56">
        <f t="shared" si="286"/>
        <v>0</v>
      </c>
      <c r="AQ130" s="53">
        <f t="shared" si="287"/>
        <v>0</v>
      </c>
      <c r="AR130" s="53">
        <f t="shared" si="288"/>
        <v>0</v>
      </c>
      <c r="AS130" s="39"/>
      <c r="AT130" s="68">
        <f t="shared" si="289"/>
        <v>0</v>
      </c>
      <c r="AU130" s="68">
        <f t="shared" si="290"/>
        <v>0</v>
      </c>
      <c r="AV130" s="68">
        <f t="shared" si="291"/>
        <v>0</v>
      </c>
      <c r="AW130" s="68">
        <f t="shared" si="277"/>
        <v>0</v>
      </c>
      <c r="AX130" s="39"/>
      <c r="AY130" s="39"/>
    </row>
    <row r="131" spans="1:53" x14ac:dyDescent="0.25">
      <c r="A131" s="30">
        <v>2096</v>
      </c>
      <c r="B131" s="33">
        <f>w_uf*UF*Parámetros!C118</f>
        <v>2103491.4305963395</v>
      </c>
      <c r="C131" s="30" t="str">
        <f t="shared" si="272"/>
        <v/>
      </c>
      <c r="D131" s="30">
        <f>((A131=Inputs!$C$12)*(Inputs!$D$12) + (A131=Inputs!$C$13)*(Inputs!$D$13) + (A131=Inputs!$C$14)*(Inputs!$D$14)) *(A131 &gt;= a_afil)*(A131&gt;=2024)</f>
        <v>0</v>
      </c>
      <c r="E131" s="30">
        <f>MIN(1,(A131=Inputs!$C$19)*Inputs!$D$19+(A131=Inputs!$C$20)*Inputs!$D$20+(A131=Inputs!$C$21)*Inputs!$D$21*(A131 &gt;= a_afil))</f>
        <v>0</v>
      </c>
      <c r="F131" s="30">
        <f t="shared" si="273"/>
        <v>0</v>
      </c>
      <c r="G131" s="30">
        <f t="shared" si="274"/>
        <v>0</v>
      </c>
      <c r="H131" s="30">
        <v>0.81157135963439941</v>
      </c>
      <c r="I131" s="37">
        <f t="shared" si="280"/>
        <v>0</v>
      </c>
      <c r="J131" s="37">
        <f t="shared" si="256"/>
        <v>0</v>
      </c>
      <c r="K131" s="30">
        <f>1*OR(Inputs!$D$17=$A131,Inputs!$E$17=$A131)*($E131=0)*(F131=1)</f>
        <v>0</v>
      </c>
      <c r="L131" s="30">
        <f>1*OR(Inputs!$D$17=$A131,Inputs!$E$17=$A131)*($E131=0)*(G131=1)</f>
        <v>0</v>
      </c>
      <c r="M131" s="73">
        <f t="shared" si="298"/>
        <v>0</v>
      </c>
      <c r="N131" s="73">
        <f t="shared" si="299"/>
        <v>0</v>
      </c>
      <c r="O131" s="55">
        <f>Parámetros!$E118*12*I131*$P$14</f>
        <v>0</v>
      </c>
      <c r="P131" s="55">
        <f>Parámetros!$E118*12*J131*$P$14</f>
        <v>0</v>
      </c>
      <c r="Q131" s="70">
        <f t="shared" si="281"/>
        <v>0</v>
      </c>
      <c r="R131" s="70">
        <f t="shared" si="282"/>
        <v>0</v>
      </c>
      <c r="S131" s="68">
        <f t="shared" si="296"/>
        <v>0</v>
      </c>
      <c r="T131" s="68">
        <f t="shared" si="297"/>
        <v>0</v>
      </c>
      <c r="U131" s="177"/>
      <c r="V131" s="68">
        <f t="shared" si="292"/>
        <v>0</v>
      </c>
      <c r="W131" s="68">
        <f t="shared" si="293"/>
        <v>0</v>
      </c>
      <c r="X131" s="54">
        <f t="shared" si="278"/>
        <v>0</v>
      </c>
      <c r="Y131" s="54">
        <f t="shared" si="279"/>
        <v>0</v>
      </c>
      <c r="Z131" s="55">
        <f t="shared" si="294"/>
        <v>0</v>
      </c>
      <c r="AA131" s="55">
        <f t="shared" si="295"/>
        <v>0</v>
      </c>
      <c r="AB131" s="53">
        <f>D131*mmater*Parámetros!$G118*$X$5+AB130*(1+i_noc)</f>
        <v>0</v>
      </c>
      <c r="AC131" s="53">
        <f>E131*12*Parámetros!$F118*$X$5+AC130*(1+i_noc)</f>
        <v>1600847.0530265654</v>
      </c>
      <c r="AD131" s="53"/>
      <c r="AE131" s="53"/>
      <c r="AF131" s="175"/>
      <c r="AG131" s="74">
        <f t="shared" si="275"/>
        <v>0</v>
      </c>
      <c r="AH131" s="52">
        <f t="shared" si="276"/>
        <v>0</v>
      </c>
      <c r="AI131" s="56">
        <f t="shared" si="283"/>
        <v>0</v>
      </c>
      <c r="AJ131" s="56">
        <f t="shared" si="284"/>
        <v>0</v>
      </c>
      <c r="AK131" s="56"/>
      <c r="AL131" s="56"/>
      <c r="AM131" s="56"/>
      <c r="AN131" s="56"/>
      <c r="AO131" s="56">
        <f t="shared" si="285"/>
        <v>0</v>
      </c>
      <c r="AP131" s="56">
        <f t="shared" si="286"/>
        <v>0</v>
      </c>
      <c r="AQ131" s="53">
        <f t="shared" si="287"/>
        <v>0</v>
      </c>
      <c r="AR131" s="53">
        <f t="shared" si="288"/>
        <v>0</v>
      </c>
      <c r="AS131" s="39"/>
      <c r="AT131" s="68">
        <f t="shared" si="289"/>
        <v>0</v>
      </c>
      <c r="AU131" s="68">
        <f t="shared" si="290"/>
        <v>0</v>
      </c>
      <c r="AV131" s="68">
        <f t="shared" si="291"/>
        <v>0</v>
      </c>
      <c r="AW131" s="68">
        <f t="shared" si="277"/>
        <v>0</v>
      </c>
      <c r="AX131" s="39"/>
      <c r="AY131" s="39"/>
    </row>
    <row r="132" spans="1:53" x14ac:dyDescent="0.25">
      <c r="A132" s="30">
        <v>2097</v>
      </c>
      <c r="B132" s="33">
        <f>w_uf*UF*Parámetros!C119</f>
        <v>2129785.0734787937</v>
      </c>
      <c r="C132" s="30" t="str">
        <f t="shared" si="272"/>
        <v/>
      </c>
      <c r="D132" s="30">
        <f>((A132=Inputs!$C$12)*(Inputs!$D$12) + (A132=Inputs!$C$13)*(Inputs!$D$13) + (A132=Inputs!$C$14)*(Inputs!$D$14)) *(A132 &gt;= a_afil)*(A132&gt;=2024)</f>
        <v>0</v>
      </c>
      <c r="E132" s="30">
        <f>MIN(1,(A132=Inputs!$C$19)*Inputs!$D$19+(A132=Inputs!$C$20)*Inputs!$D$20+(A132=Inputs!$C$21)*Inputs!$D$21*(A132 &gt;= a_afil))</f>
        <v>0</v>
      </c>
      <c r="F132" s="30">
        <f t="shared" si="273"/>
        <v>0</v>
      </c>
      <c r="G132" s="30">
        <f t="shared" si="274"/>
        <v>0</v>
      </c>
      <c r="H132" s="30">
        <v>0.74178069829940796</v>
      </c>
      <c r="I132" s="37">
        <f t="shared" si="280"/>
        <v>0</v>
      </c>
      <c r="J132" s="37">
        <f t="shared" si="256"/>
        <v>0</v>
      </c>
      <c r="K132" s="30">
        <f>1*OR(Inputs!$D$17=$A132,Inputs!$E$17=$A132)*($E132=0)*(F132=1)</f>
        <v>0</v>
      </c>
      <c r="L132" s="30">
        <f>1*OR(Inputs!$D$17=$A132,Inputs!$E$17=$A132)*($E132=0)*(G132=1)</f>
        <v>0</v>
      </c>
      <c r="M132" s="73">
        <f t="shared" si="298"/>
        <v>0</v>
      </c>
      <c r="N132" s="73">
        <f t="shared" si="299"/>
        <v>0</v>
      </c>
      <c r="O132" s="55">
        <f>Parámetros!$E119*12*I132*$P$14</f>
        <v>0</v>
      </c>
      <c r="P132" s="55">
        <f>Parámetros!$E119*12*J132*$P$14</f>
        <v>0</v>
      </c>
      <c r="Q132" s="70">
        <f t="shared" si="281"/>
        <v>0</v>
      </c>
      <c r="R132" s="70">
        <f t="shared" si="282"/>
        <v>0</v>
      </c>
      <c r="S132" s="68">
        <f t="shared" si="296"/>
        <v>0</v>
      </c>
      <c r="T132" s="68">
        <f t="shared" si="297"/>
        <v>0</v>
      </c>
      <c r="U132" s="177"/>
      <c r="V132" s="68">
        <f t="shared" si="292"/>
        <v>0</v>
      </c>
      <c r="W132" s="68">
        <f t="shared" si="293"/>
        <v>0</v>
      </c>
      <c r="X132" s="54">
        <f t="shared" si="278"/>
        <v>0</v>
      </c>
      <c r="Y132" s="54">
        <f t="shared" si="279"/>
        <v>0</v>
      </c>
      <c r="Z132" s="55">
        <f t="shared" si="294"/>
        <v>0</v>
      </c>
      <c r="AA132" s="55">
        <f t="shared" si="295"/>
        <v>0</v>
      </c>
      <c r="AB132" s="53">
        <f>D132*mmater*Parámetros!$G119*$X$5+AB131*(1+i_noc)</f>
        <v>0</v>
      </c>
      <c r="AC132" s="53">
        <f>E132*12*Parámetros!$F119*$X$5+AC131*(1+i_noc)</f>
        <v>1632863.9940870968</v>
      </c>
      <c r="AD132" s="53"/>
      <c r="AE132" s="53"/>
      <c r="AF132" s="175"/>
      <c r="AG132" s="74">
        <f t="shared" si="275"/>
        <v>0</v>
      </c>
      <c r="AH132" s="52">
        <f t="shared" si="276"/>
        <v>0</v>
      </c>
      <c r="AI132" s="56">
        <f t="shared" si="283"/>
        <v>0</v>
      </c>
      <c r="AJ132" s="56">
        <f t="shared" si="284"/>
        <v>0</v>
      </c>
      <c r="AK132" s="56"/>
      <c r="AL132" s="56"/>
      <c r="AM132" s="56"/>
      <c r="AN132" s="56"/>
      <c r="AO132" s="56">
        <f t="shared" si="285"/>
        <v>0</v>
      </c>
      <c r="AP132" s="56">
        <f t="shared" si="286"/>
        <v>0</v>
      </c>
      <c r="AQ132" s="53">
        <f t="shared" si="287"/>
        <v>0</v>
      </c>
      <c r="AR132" s="53">
        <f t="shared" si="288"/>
        <v>0</v>
      </c>
      <c r="AS132" s="39"/>
      <c r="AT132" s="68">
        <f t="shared" si="289"/>
        <v>0</v>
      </c>
      <c r="AU132" s="68">
        <f t="shared" si="290"/>
        <v>0</v>
      </c>
      <c r="AV132" s="68">
        <f t="shared" si="291"/>
        <v>0</v>
      </c>
      <c r="AW132" s="68">
        <f t="shared" si="277"/>
        <v>0</v>
      </c>
      <c r="AX132" s="39"/>
      <c r="AY132" s="39"/>
    </row>
    <row r="133" spans="1:53" x14ac:dyDescent="0.25">
      <c r="A133" s="30">
        <v>2098</v>
      </c>
      <c r="B133" s="33">
        <f>w_uf*UF*Parámetros!C120</f>
        <v>2156407.3868972789</v>
      </c>
      <c r="C133" s="30" t="str">
        <f t="shared" si="272"/>
        <v/>
      </c>
      <c r="D133" s="30">
        <f>((A133=Inputs!$C$12)*(Inputs!$D$12) + (A133=Inputs!$C$13)*(Inputs!$D$13) + (A133=Inputs!$C$14)*(Inputs!$D$14)) *(A133 &gt;= a_afil)*(A133&gt;=2024)</f>
        <v>0</v>
      </c>
      <c r="E133" s="30">
        <f>MIN(1,(A133=Inputs!$C$19)*Inputs!$D$19+(A133=Inputs!$C$20)*Inputs!$D$20+(A133=Inputs!$C$21)*Inputs!$D$21*(A133 &gt;= a_afil))</f>
        <v>0</v>
      </c>
      <c r="F133" s="30">
        <f t="shared" si="273"/>
        <v>0</v>
      </c>
      <c r="G133" s="30">
        <f t="shared" si="274"/>
        <v>0</v>
      </c>
      <c r="H133" s="30">
        <v>0.43766391277313232</v>
      </c>
      <c r="I133" s="37">
        <f t="shared" si="280"/>
        <v>0</v>
      </c>
      <c r="J133" s="37">
        <f t="shared" si="256"/>
        <v>0</v>
      </c>
      <c r="K133" s="30">
        <f>1*OR(Inputs!$D$17=$A133,Inputs!$E$17=$A133)*($E133=0)*(F133=1)</f>
        <v>0</v>
      </c>
      <c r="L133" s="30">
        <f>1*OR(Inputs!$D$17=$A133,Inputs!$E$17=$A133)*($E133=0)*(G133=1)</f>
        <v>0</v>
      </c>
      <c r="M133" s="73">
        <f t="shared" si="298"/>
        <v>0</v>
      </c>
      <c r="N133" s="73">
        <f t="shared" si="299"/>
        <v>0</v>
      </c>
      <c r="O133" s="55">
        <f>Parámetros!$E120*12*I133*$P$14</f>
        <v>0</v>
      </c>
      <c r="P133" s="55">
        <f>Parámetros!$E120*12*J133*$P$14</f>
        <v>0</v>
      </c>
      <c r="Q133" s="70">
        <f t="shared" si="281"/>
        <v>0</v>
      </c>
      <c r="R133" s="70">
        <f t="shared" si="282"/>
        <v>0</v>
      </c>
      <c r="S133" s="68">
        <f t="shared" si="296"/>
        <v>0</v>
      </c>
      <c r="T133" s="68">
        <f t="shared" si="297"/>
        <v>0</v>
      </c>
      <c r="U133" s="177"/>
      <c r="V133" s="68">
        <f t="shared" si="292"/>
        <v>0</v>
      </c>
      <c r="W133" s="68">
        <f t="shared" si="293"/>
        <v>0</v>
      </c>
      <c r="X133" s="54">
        <f t="shared" si="278"/>
        <v>0</v>
      </c>
      <c r="Y133" s="54">
        <f t="shared" si="279"/>
        <v>0</v>
      </c>
      <c r="Z133" s="55">
        <f t="shared" si="294"/>
        <v>0</v>
      </c>
      <c r="AA133" s="55">
        <f t="shared" si="295"/>
        <v>0</v>
      </c>
      <c r="AB133" s="53">
        <f>D133*mmater*Parámetros!$G120*$X$5+AB132*(1+i_noc)</f>
        <v>0</v>
      </c>
      <c r="AC133" s="53">
        <f>E133*12*Parámetros!$F120*$X$5+AC132*(1+i_noc)</f>
        <v>1665521.2739688386</v>
      </c>
      <c r="AD133" s="53"/>
      <c r="AE133" s="53"/>
      <c r="AF133" s="175"/>
      <c r="AG133" s="74">
        <f t="shared" si="275"/>
        <v>0</v>
      </c>
      <c r="AH133" s="52">
        <f t="shared" si="276"/>
        <v>0</v>
      </c>
      <c r="AI133" s="56">
        <f t="shared" si="283"/>
        <v>0</v>
      </c>
      <c r="AJ133" s="56">
        <f t="shared" si="284"/>
        <v>0</v>
      </c>
      <c r="AK133" s="56"/>
      <c r="AL133" s="56"/>
      <c r="AM133" s="56"/>
      <c r="AN133" s="56"/>
      <c r="AO133" s="56">
        <f t="shared" si="285"/>
        <v>0</v>
      </c>
      <c r="AP133" s="56">
        <f t="shared" si="286"/>
        <v>0</v>
      </c>
      <c r="AQ133" s="53">
        <f t="shared" si="287"/>
        <v>0</v>
      </c>
      <c r="AR133" s="53">
        <f t="shared" si="288"/>
        <v>0</v>
      </c>
      <c r="AS133" s="39"/>
      <c r="AT133" s="68">
        <f t="shared" si="289"/>
        <v>0</v>
      </c>
      <c r="AU133" s="68">
        <f t="shared" si="290"/>
        <v>0</v>
      </c>
      <c r="AV133" s="68">
        <f t="shared" si="291"/>
        <v>0</v>
      </c>
      <c r="AW133" s="68">
        <f t="shared" si="277"/>
        <v>0</v>
      </c>
      <c r="AX133" s="39"/>
      <c r="AY133" s="39"/>
    </row>
    <row r="134" spans="1:53" x14ac:dyDescent="0.25">
      <c r="A134" s="30">
        <v>2099</v>
      </c>
      <c r="B134" s="33">
        <f>w_uf*UF*Parámetros!C121</f>
        <v>2183362.4792334945</v>
      </c>
      <c r="C134" s="30" t="str">
        <f t="shared" si="272"/>
        <v/>
      </c>
      <c r="D134" s="30">
        <f>((A134=Inputs!$C$12)*(Inputs!$D$12) + (A134=Inputs!$C$13)*(Inputs!$D$13) + (A134=Inputs!$C$14)*(Inputs!$D$14)) *(A134 &gt;= a_afil)*(A134&gt;=2024)</f>
        <v>0</v>
      </c>
      <c r="E134" s="30">
        <f>MIN(1,(A134=Inputs!$C$19)*Inputs!$D$19+(A134=Inputs!$C$20)*Inputs!$D$20+(A134=Inputs!$C$21)*Inputs!$D$21*(A134 &gt;= a_afil))</f>
        <v>0</v>
      </c>
      <c r="F134" s="30">
        <f t="shared" si="273"/>
        <v>0</v>
      </c>
      <c r="G134" s="30">
        <f t="shared" si="274"/>
        <v>0</v>
      </c>
      <c r="H134" s="30">
        <v>7.7980577945709229E-2</v>
      </c>
      <c r="I134" s="37">
        <f t="shared" si="280"/>
        <v>0</v>
      </c>
      <c r="J134" s="37">
        <f t="shared" si="256"/>
        <v>0</v>
      </c>
      <c r="K134" s="30">
        <f>1*OR(Inputs!$D$17=$A134,Inputs!$E$17=$A134)*($E134=0)*(F134=1)</f>
        <v>0</v>
      </c>
      <c r="L134" s="30">
        <f>1*OR(Inputs!$D$17=$A134,Inputs!$E$17=$A134)*($E134=0)*(G134=1)</f>
        <v>0</v>
      </c>
      <c r="M134" s="73">
        <f t="shared" si="298"/>
        <v>0</v>
      </c>
      <c r="N134" s="73">
        <f t="shared" si="299"/>
        <v>0</v>
      </c>
      <c r="O134" s="55">
        <f>Parámetros!$E121*12*I134*$P$14</f>
        <v>0</v>
      </c>
      <c r="P134" s="55">
        <f>Parámetros!$E121*12*J134*$P$14</f>
        <v>0</v>
      </c>
      <c r="Q134" s="70">
        <f t="shared" si="281"/>
        <v>0</v>
      </c>
      <c r="R134" s="70">
        <f t="shared" si="282"/>
        <v>0</v>
      </c>
      <c r="S134" s="68">
        <f t="shared" si="296"/>
        <v>0</v>
      </c>
      <c r="T134" s="68">
        <f t="shared" si="297"/>
        <v>0</v>
      </c>
      <c r="U134" s="177"/>
      <c r="V134" s="68">
        <f t="shared" si="292"/>
        <v>0</v>
      </c>
      <c r="W134" s="68">
        <f t="shared" si="293"/>
        <v>0</v>
      </c>
      <c r="X134" s="54">
        <f t="shared" si="278"/>
        <v>0</v>
      </c>
      <c r="Y134" s="54">
        <f t="shared" si="279"/>
        <v>0</v>
      </c>
      <c r="Z134" s="55">
        <f t="shared" si="294"/>
        <v>0</v>
      </c>
      <c r="AA134" s="55">
        <f t="shared" si="295"/>
        <v>0</v>
      </c>
      <c r="AB134" s="53">
        <f>D134*mmater*Parámetros!$G121*$X$5+AB133*(1+i_noc)</f>
        <v>0</v>
      </c>
      <c r="AC134" s="53">
        <f>E134*12*Parámetros!$F121*$X$5+AC133*(1+i_noc)</f>
        <v>1698831.6994482153</v>
      </c>
      <c r="AD134" s="53"/>
      <c r="AE134" s="53"/>
      <c r="AF134" s="175"/>
      <c r="AG134" s="74">
        <f t="shared" si="275"/>
        <v>0</v>
      </c>
      <c r="AH134" s="52">
        <f t="shared" si="276"/>
        <v>0</v>
      </c>
      <c r="AI134" s="56">
        <f t="shared" si="283"/>
        <v>0</v>
      </c>
      <c r="AJ134" s="56">
        <f t="shared" si="284"/>
        <v>0</v>
      </c>
      <c r="AK134" s="56"/>
      <c r="AL134" s="56"/>
      <c r="AM134" s="56"/>
      <c r="AN134" s="56"/>
      <c r="AO134" s="56">
        <f t="shared" si="285"/>
        <v>0</v>
      </c>
      <c r="AP134" s="56">
        <f t="shared" si="286"/>
        <v>0</v>
      </c>
      <c r="AQ134" s="53">
        <f t="shared" si="287"/>
        <v>0</v>
      </c>
      <c r="AR134" s="53">
        <f t="shared" si="288"/>
        <v>0</v>
      </c>
      <c r="AS134" s="39"/>
      <c r="AT134" s="68">
        <f t="shared" si="289"/>
        <v>0</v>
      </c>
      <c r="AU134" s="68">
        <f t="shared" si="290"/>
        <v>0</v>
      </c>
      <c r="AV134" s="68">
        <f t="shared" si="291"/>
        <v>0</v>
      </c>
      <c r="AW134" s="68">
        <f t="shared" si="277"/>
        <v>0</v>
      </c>
      <c r="AX134" s="39"/>
      <c r="AY134" s="39"/>
    </row>
    <row r="135" spans="1:53" x14ac:dyDescent="0.25">
      <c r="A135" s="30">
        <v>2100</v>
      </c>
      <c r="B135" s="33">
        <f>w_uf*UF*Parámetros!C122</f>
        <v>2210654.510223913</v>
      </c>
      <c r="C135" s="30" t="str">
        <f t="shared" si="272"/>
        <v/>
      </c>
      <c r="D135" s="30">
        <f>((A135=Inputs!$C$12)*(Inputs!$D$12) + (A135=Inputs!$C$13)*(Inputs!$D$13) + (A135=Inputs!$C$14)*(Inputs!$D$14)) *(A135 &gt;= a_afil)*(A135&gt;=2024)</f>
        <v>0</v>
      </c>
      <c r="E135" s="30">
        <f>MIN(1,(A135=Inputs!$C$19)*Inputs!$D$19+(A135=Inputs!$C$20)*Inputs!$D$20+(A135=Inputs!$C$21)*Inputs!$D$21*(A135 &gt;= a_afil))</f>
        <v>0</v>
      </c>
      <c r="F135" s="30">
        <f xml:space="preserve"> (C135&lt;edad_ret_h) * (A135&gt;=a_afil)</f>
        <v>0</v>
      </c>
      <c r="G135" s="30">
        <f xml:space="preserve"> (C135&lt;edad_ret_m) * (A135&gt;=a_afil)</f>
        <v>0</v>
      </c>
      <c r="H135" s="30">
        <v>0.41063165664672852</v>
      </c>
      <c r="I135" s="37">
        <f>IF(F135=1,+dens_cot,0)</f>
        <v>0</v>
      </c>
      <c r="J135" s="37">
        <f>IF(G135=1,+dens_mujer,0)</f>
        <v>0</v>
      </c>
      <c r="K135" s="30">
        <f>1*OR(Inputs!$D$17=$A135,Inputs!$E$17=$A135)*($E135=0)*(F135=1)</f>
        <v>0</v>
      </c>
      <c r="L135" s="30">
        <f>1*OR(Inputs!$D$17=$A135,Inputs!$E$17=$A135)*($E135=0)*(G135=1)</f>
        <v>0</v>
      </c>
      <c r="M135" s="73">
        <f t="shared" si="298"/>
        <v>0</v>
      </c>
      <c r="N135" s="73">
        <f t="shared" si="299"/>
        <v>0</v>
      </c>
      <c r="O135" s="55">
        <f>Parámetros!$E122*12*I135*$P$14</f>
        <v>0</v>
      </c>
      <c r="P135" s="55">
        <f>Parámetros!$E122*12*J135*$P$14</f>
        <v>0</v>
      </c>
      <c r="Q135" s="70">
        <f t="shared" si="281"/>
        <v>0</v>
      </c>
      <c r="R135" s="70">
        <f t="shared" si="282"/>
        <v>0</v>
      </c>
      <c r="S135" s="68">
        <f t="shared" si="296"/>
        <v>0</v>
      </c>
      <c r="T135" s="68">
        <f t="shared" si="297"/>
        <v>0</v>
      </c>
      <c r="U135" s="177"/>
      <c r="V135" s="68">
        <f t="shared" si="292"/>
        <v>0</v>
      </c>
      <c r="W135" s="68">
        <f t="shared" si="293"/>
        <v>0</v>
      </c>
      <c r="X135" s="54">
        <f t="shared" si="278"/>
        <v>0</v>
      </c>
      <c r="Y135" s="54">
        <f t="shared" si="279"/>
        <v>0</v>
      </c>
      <c r="Z135" s="55">
        <f t="shared" si="294"/>
        <v>0</v>
      </c>
      <c r="AA135" s="55">
        <f t="shared" si="295"/>
        <v>0</v>
      </c>
      <c r="AB135" s="53">
        <f>D135*mmater*Parámetros!$G122*$X$5+AB134*(1+i_noc)</f>
        <v>0</v>
      </c>
      <c r="AC135" s="53">
        <f>E135*12*Parámetros!$F122*$X$5+AC134*(1+i_noc)</f>
        <v>1732808.3334371797</v>
      </c>
      <c r="AD135" s="53"/>
      <c r="AE135" s="53"/>
      <c r="AF135" s="175"/>
      <c r="AG135" s="74">
        <f t="shared" si="275"/>
        <v>0</v>
      </c>
      <c r="AH135" s="52">
        <f t="shared" si="276"/>
        <v>0</v>
      </c>
      <c r="AI135" s="56">
        <f t="shared" si="283"/>
        <v>0</v>
      </c>
      <c r="AJ135" s="56">
        <f t="shared" si="284"/>
        <v>0</v>
      </c>
      <c r="AK135" s="56"/>
      <c r="AL135" s="56"/>
      <c r="AM135" s="56"/>
      <c r="AN135" s="56"/>
      <c r="AO135" s="56">
        <f t="shared" si="285"/>
        <v>0</v>
      </c>
      <c r="AP135" s="56">
        <f t="shared" si="286"/>
        <v>0</v>
      </c>
      <c r="AQ135" s="53">
        <f t="shared" si="287"/>
        <v>0</v>
      </c>
      <c r="AR135" s="53">
        <f t="shared" si="288"/>
        <v>0</v>
      </c>
      <c r="AS135" s="39"/>
      <c r="AT135" s="68">
        <f t="shared" si="289"/>
        <v>0</v>
      </c>
      <c r="AU135" s="68">
        <f t="shared" si="290"/>
        <v>0</v>
      </c>
      <c r="AV135" s="68">
        <f t="shared" si="291"/>
        <v>0</v>
      </c>
      <c r="AW135" s="68">
        <f t="shared" si="277"/>
        <v>0</v>
      </c>
      <c r="AX135" s="39"/>
      <c r="AY135" s="39"/>
    </row>
    <row r="136" spans="1:53" x14ac:dyDescent="0.25">
      <c r="AG136" s="33"/>
      <c r="AH136" s="33"/>
      <c r="AI136" s="33"/>
      <c r="AJ136" s="33"/>
      <c r="AK136" s="96"/>
      <c r="AL136" s="30"/>
      <c r="AM136" s="30"/>
      <c r="AN136" s="30"/>
      <c r="AO136" s="30"/>
      <c r="AP136" s="30"/>
    </row>
    <row r="137" spans="1:53" x14ac:dyDescent="0.25">
      <c r="AI137" s="33"/>
      <c r="AJ137" s="33"/>
      <c r="AO137" s="30"/>
      <c r="AP137" s="30"/>
    </row>
    <row r="138" spans="1:53" x14ac:dyDescent="0.25">
      <c r="AQ138" s="65"/>
    </row>
    <row r="139" spans="1:53" x14ac:dyDescent="0.25">
      <c r="AQ139" s="65"/>
    </row>
    <row r="140" spans="1:53" x14ac:dyDescent="0.25">
      <c r="AQ140" s="38"/>
    </row>
    <row r="141" spans="1:53" x14ac:dyDescent="0.25"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</row>
    <row r="142" spans="1:53" x14ac:dyDescent="0.25"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  <c r="BA142" s="184"/>
    </row>
    <row r="143" spans="1:53" x14ac:dyDescent="0.25"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  <c r="BA143" s="184"/>
    </row>
    <row r="144" spans="1:53" x14ac:dyDescent="0.25">
      <c r="AK144" s="184"/>
      <c r="AL144" s="184"/>
      <c r="AM144" s="184"/>
      <c r="AN144" s="184"/>
      <c r="AO144" s="184"/>
      <c r="AP144" s="184"/>
      <c r="AQ144" s="184"/>
      <c r="AR144" s="184"/>
      <c r="AS144" s="184"/>
      <c r="AT144" s="184"/>
      <c r="AU144" s="184"/>
      <c r="AV144" s="184"/>
      <c r="AW144" s="184"/>
      <c r="AX144" s="184"/>
      <c r="AY144" s="184"/>
      <c r="AZ144" s="184"/>
      <c r="BA144" s="184"/>
    </row>
    <row r="145" spans="37:53" x14ac:dyDescent="0.25"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  <c r="BA145" s="184"/>
    </row>
    <row r="146" spans="37:53" x14ac:dyDescent="0.25"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  <c r="BA146" s="184"/>
    </row>
    <row r="147" spans="37:53" x14ac:dyDescent="0.25"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</row>
    <row r="148" spans="37:53" x14ac:dyDescent="0.25"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</row>
  </sheetData>
  <sheetProtection formatCells="0" formatColumns="0" formatRows="0" deleteColumns="0" deleteRows="0"/>
  <protectedRanges>
    <protectedRange sqref="H16:H135" name="Rango2_1"/>
  </protectedRanges>
  <mergeCells count="28">
    <mergeCell ref="AV13:AW14"/>
    <mergeCell ref="AM13:AN14"/>
    <mergeCell ref="AO13:AO14"/>
    <mergeCell ref="AP13:AP14"/>
    <mergeCell ref="AQ13:AR14"/>
    <mergeCell ref="AT13:AU14"/>
    <mergeCell ref="Z13:AA14"/>
    <mergeCell ref="AQ1:AQ2"/>
    <mergeCell ref="AB13:AB14"/>
    <mergeCell ref="AC13:AC14"/>
    <mergeCell ref="AD13:AE14"/>
    <mergeCell ref="AK13:AL14"/>
    <mergeCell ref="M13:N13"/>
    <mergeCell ref="A12:A15"/>
    <mergeCell ref="AG12:AH14"/>
    <mergeCell ref="AI12:AJ14"/>
    <mergeCell ref="B13:B15"/>
    <mergeCell ref="C13:C15"/>
    <mergeCell ref="D13:E14"/>
    <mergeCell ref="F13:G14"/>
    <mergeCell ref="H13:H15"/>
    <mergeCell ref="I13:J14"/>
    <mergeCell ref="K13:L14"/>
    <mergeCell ref="O13:P13"/>
    <mergeCell ref="Q13:R14"/>
    <mergeCell ref="S13:T14"/>
    <mergeCell ref="V13:W13"/>
    <mergeCell ref="X13:Y14"/>
  </mergeCells>
  <conditionalFormatting sqref="D16:E135 K16:L135">
    <cfRule type="cellIs" dxfId="3" priority="5" operator="equal">
      <formula>1</formula>
    </cfRule>
  </conditionalFormatting>
  <conditionalFormatting sqref="AK9:AN9">
    <cfRule type="expression" dxfId="2" priority="2">
      <formula>AK9&lt;&gt;SUM(AK3:AK8)</formula>
    </cfRule>
  </conditionalFormatting>
  <conditionalFormatting sqref="AO9:AP9">
    <cfRule type="expression" dxfId="1" priority="1">
      <formula>AO9&gt;tope_garantia</formula>
    </cfRule>
  </conditionalFormatting>
  <hyperlinks>
    <hyperlink ref="AA6" location="'Variables externas'!AQ1" display="(ir a tabla de factores)" xr:uid="{66665D70-0A67-4C26-910A-2CB9FB66D28C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36857-B0D5-4299-8707-C659BD9C8174}">
  <sheetPr codeName="Hoja11">
    <tabColor theme="8" tint="0.79998168889431442"/>
  </sheetPr>
  <dimension ref="A1:BC144"/>
  <sheetViews>
    <sheetView zoomScale="85" zoomScaleNormal="85" workbookViewId="0">
      <pane xSplit="3" ySplit="15" topLeftCell="D16" activePane="bottomRight" state="frozen"/>
      <selection pane="topRight"/>
      <selection pane="bottomLeft"/>
      <selection pane="bottomRight"/>
    </sheetView>
  </sheetViews>
  <sheetFormatPr baseColWidth="10" defaultColWidth="4.28515625" defaultRowHeight="15" x14ac:dyDescent="0.25"/>
  <cols>
    <col min="1" max="1" width="8.5703125" style="30" customWidth="1"/>
    <col min="2" max="2" width="14.28515625" style="30" customWidth="1"/>
    <col min="3" max="3" width="4.28515625" style="30" customWidth="1"/>
    <col min="4" max="5" width="7.42578125" style="30" customWidth="1"/>
    <col min="6" max="12" width="6.28515625" style="30" customWidth="1"/>
    <col min="13" max="20" width="10.7109375" style="30" customWidth="1"/>
    <col min="21" max="21" width="4.140625" style="30" customWidth="1"/>
    <col min="22" max="31" width="12.140625" style="30" customWidth="1"/>
    <col min="32" max="32" width="12" style="30" customWidth="1"/>
    <col min="33" max="36" width="10.7109375" style="30" customWidth="1"/>
    <col min="37" max="42" width="10.7109375" style="33" customWidth="1"/>
    <col min="43" max="47" width="10.7109375" style="30" customWidth="1"/>
    <col min="48" max="48" width="12.7109375" style="30" bestFit="1" customWidth="1"/>
    <col min="49" max="52" width="10.7109375" style="30" customWidth="1"/>
    <col min="53" max="53" width="23" style="30" bestFit="1" customWidth="1"/>
    <col min="54" max="55" width="10.7109375" style="30" customWidth="1"/>
    <col min="56" max="67" width="5.7109375" style="30" customWidth="1"/>
    <col min="68" max="16384" width="4.28515625" style="30"/>
  </cols>
  <sheetData>
    <row r="1" spans="1:55" ht="32.25" customHeight="1" thickBot="1" x14ac:dyDescent="0.3">
      <c r="K1" s="96"/>
      <c r="L1" s="96"/>
      <c r="M1" s="96"/>
      <c r="N1" s="96"/>
      <c r="O1" s="96"/>
      <c r="U1" s="40"/>
      <c r="AC1" s="289" t="s">
        <v>252</v>
      </c>
      <c r="AD1" s="290"/>
      <c r="AE1" s="290"/>
      <c r="AF1" s="291"/>
      <c r="AK1" s="30"/>
      <c r="AL1" s="30"/>
      <c r="AM1" s="30"/>
      <c r="AN1" s="30"/>
      <c r="AT1" s="33"/>
      <c r="BA1" s="196"/>
      <c r="BB1" s="196" t="s">
        <v>110</v>
      </c>
      <c r="BC1" s="196" t="s">
        <v>111</v>
      </c>
    </row>
    <row r="2" spans="1:55" x14ac:dyDescent="0.25">
      <c r="L2" s="105"/>
      <c r="M2" s="105"/>
      <c r="N2" s="105"/>
      <c r="U2" s="40"/>
      <c r="X2" s="41">
        <v>0.1</v>
      </c>
      <c r="Y2" s="30" t="s">
        <v>269</v>
      </c>
      <c r="AC2" s="33"/>
      <c r="AD2" s="33"/>
      <c r="AE2" s="57" t="s">
        <v>110</v>
      </c>
      <c r="AF2" s="32" t="s">
        <v>111</v>
      </c>
      <c r="AK2" s="30"/>
      <c r="AL2" s="30"/>
      <c r="AM2" s="30"/>
      <c r="AN2" s="30"/>
      <c r="AT2" s="33"/>
      <c r="BA2" s="65" t="str" cm="1">
        <f t="array" ref="BA2:BA10">beneficios</f>
        <v>PAFE (10%)</v>
      </c>
      <c r="BB2" s="320">
        <f>ROUND(AI$11,0)</f>
        <v>249562</v>
      </c>
      <c r="BC2" s="320">
        <f>ROUND(AJ$11,0)</f>
        <v>222429</v>
      </c>
    </row>
    <row r="3" spans="1:55" x14ac:dyDescent="0.25">
      <c r="U3" s="40"/>
      <c r="X3" s="41">
        <f>10.5%+(6%-X4)</f>
        <v>0.16499999999999998</v>
      </c>
      <c r="Y3" s="47" t="s">
        <v>270</v>
      </c>
      <c r="AC3" s="30" t="s">
        <v>254</v>
      </c>
      <c r="AD3" s="33"/>
      <c r="AE3" s="33" cm="1">
        <f t="array" ref="AE3:AF3">edad_pafe</f>
        <v>65</v>
      </c>
      <c r="AF3" s="33">
        <v>60</v>
      </c>
      <c r="AK3" s="30"/>
      <c r="AL3" s="30"/>
      <c r="AM3" s="30"/>
      <c r="AN3" s="30"/>
      <c r="AT3" s="33"/>
      <c r="BA3" s="30" t="str">
        <v>PAFE (CCICO reforma)</v>
      </c>
      <c r="BB3" s="38">
        <f>ROUND(AK$11,0)</f>
        <v>299570</v>
      </c>
      <c r="BC3" s="38">
        <f>ROUND(AL$11,0)</f>
        <v>267000</v>
      </c>
    </row>
    <row r="4" spans="1:55" x14ac:dyDescent="0.25">
      <c r="U4"/>
      <c r="X4" s="36">
        <v>0</v>
      </c>
      <c r="Y4" s="30" t="s">
        <v>154</v>
      </c>
      <c r="AA4" s="47"/>
      <c r="AC4" s="47" t="s">
        <v>211</v>
      </c>
      <c r="AD4" s="45"/>
      <c r="AE4" s="255">
        <f>_xlfn.XLOOKUP(AE3,$C$16:$C$135,Z$16:Z$135)/(12*_xlfn.XLOOKUP(AE$2,sexo_cnu,cnu_elp))</f>
        <v>249562.18907357016</v>
      </c>
      <c r="AF4" s="255">
        <f>_xlfn.XLOOKUP(AF3,$C$16:$C$135,AA$16:AA$135)/(12*_xlfn.XLOOKUP(AF$2,sexo_cnu,cnu_elp))</f>
        <v>158779.23425516335</v>
      </c>
      <c r="AK4" s="30"/>
      <c r="AL4" s="30"/>
      <c r="AM4" s="30"/>
      <c r="AN4" s="30"/>
      <c r="AT4" s="33"/>
      <c r="BA4" s="30" t="str">
        <v>Aumento por cotización</v>
      </c>
      <c r="BB4" s="38">
        <f>BB3-BB2</f>
        <v>50008</v>
      </c>
      <c r="BC4" s="38">
        <f>BC3-BC2</f>
        <v>44571</v>
      </c>
    </row>
    <row r="5" spans="1:55" x14ac:dyDescent="0.25">
      <c r="AA5" s="47"/>
      <c r="AC5" s="47" t="s">
        <v>212</v>
      </c>
      <c r="AD5" s="45"/>
      <c r="AE5" s="255">
        <f>_xlfn.XLOOKUP(AE3,$C$16:$C$135,AB$16:AB$135)/(12*_xlfn.XLOOKUP(AE$2,sexo_cnu,cnu_elp))</f>
        <v>299570.41554413165</v>
      </c>
      <c r="AF5" s="255">
        <f>_xlfn.XLOOKUP(AF3,$C$16:$C$135,AC$16:AC$135)/(12*_xlfn.XLOOKUP(AF$2,sexo_cnu,cnu_elp))</f>
        <v>186677.25361165812</v>
      </c>
      <c r="AK5" s="30"/>
      <c r="AL5" s="30"/>
      <c r="AM5" s="30"/>
      <c r="AN5" s="30"/>
      <c r="AT5" s="33"/>
      <c r="BA5" s="30" t="str">
        <v>Tabla Mortalidad</v>
      </c>
      <c r="BB5" s="38"/>
      <c r="BC5" s="248"/>
    </row>
    <row r="6" spans="1:55" x14ac:dyDescent="0.25">
      <c r="C6" s="32"/>
      <c r="D6" s="34"/>
      <c r="E6" s="34"/>
      <c r="F6" s="34"/>
      <c r="G6" s="34"/>
      <c r="H6" s="34"/>
      <c r="I6" s="34"/>
      <c r="K6" s="199"/>
      <c r="V6" s="40" t="s">
        <v>143</v>
      </c>
      <c r="X6" s="246">
        <f>0.16%*(1-VLOOKUP(a_nac,Parámetros!$AD$3:$AF$56,3))</f>
        <v>1.2800000000000001E-3</v>
      </c>
      <c r="Y6" s="47" t="s">
        <v>163</v>
      </c>
      <c r="AA6" s="47"/>
      <c r="AC6" s="287" t="s">
        <v>257</v>
      </c>
      <c r="AD6" s="33"/>
      <c r="AE6" s="269">
        <f>IF(Parámetros!Z$10&lt;2024,AE4,AE$5)</f>
        <v>299570.41554413165</v>
      </c>
      <c r="AF6" s="269">
        <f>IF(Parámetros!AA$10&lt;2024,AF4,AF$5)</f>
        <v>186677.25361165812</v>
      </c>
      <c r="AK6" s="30"/>
      <c r="AL6" s="30"/>
      <c r="AM6" s="30"/>
      <c r="AN6" s="30"/>
      <c r="BA6" s="30" t="str">
        <v>Pensión intra</v>
      </c>
      <c r="BB6" s="38"/>
      <c r="BC6" s="38"/>
    </row>
    <row r="7" spans="1:55" x14ac:dyDescent="0.25">
      <c r="C7" s="32"/>
      <c r="D7" s="34"/>
      <c r="E7" s="34"/>
      <c r="F7" s="34"/>
      <c r="G7" s="34"/>
      <c r="H7" s="34"/>
      <c r="I7" s="34"/>
      <c r="K7" s="199"/>
      <c r="AA7" s="47"/>
      <c r="AK7" s="30"/>
      <c r="AL7" s="30"/>
      <c r="AM7" s="30"/>
      <c r="AN7" s="30"/>
      <c r="BA7" s="30" t="str">
        <v>Garantía</v>
      </c>
      <c r="BB7" s="247"/>
      <c r="BC7" s="247"/>
    </row>
    <row r="8" spans="1:55" ht="15.75" thickBot="1" x14ac:dyDescent="0.3">
      <c r="C8" s="32"/>
      <c r="D8" s="196" t="s">
        <v>110</v>
      </c>
      <c r="E8" s="196" t="s">
        <v>111</v>
      </c>
      <c r="F8" s="34"/>
      <c r="G8" s="34"/>
      <c r="H8" s="34"/>
      <c r="I8" s="34"/>
      <c r="K8" s="107"/>
      <c r="L8" s="103"/>
      <c r="M8" s="103"/>
      <c r="N8" s="65"/>
      <c r="O8" s="65"/>
      <c r="P8" s="65"/>
      <c r="Q8" s="65"/>
      <c r="R8" s="65"/>
      <c r="S8" s="65"/>
      <c r="AA8" s="47"/>
      <c r="AK8" s="30"/>
      <c r="AL8" s="30"/>
      <c r="AM8" s="30"/>
      <c r="AN8" s="30"/>
      <c r="BA8" s="30" t="str">
        <v>Maternidad</v>
      </c>
      <c r="BB8" s="38"/>
      <c r="BC8" s="38"/>
    </row>
    <row r="9" spans="1:55" ht="15.75" thickBot="1" x14ac:dyDescent="0.3">
      <c r="B9" s="104" t="s">
        <v>119</v>
      </c>
      <c r="C9" s="32"/>
      <c r="D9" s="65">
        <f>_xlfn.XLOOKUP(D$8,sexo_cnu,agno_ret)</f>
        <v>2044</v>
      </c>
      <c r="E9" s="65">
        <f>_xlfn.XLOOKUP(E$8,sexo_cnu,agno_ret)</f>
        <v>2044</v>
      </c>
      <c r="F9" s="34"/>
      <c r="G9" s="34"/>
      <c r="H9" s="34"/>
      <c r="I9" s="34"/>
      <c r="K9" s="107"/>
      <c r="L9" s="106"/>
      <c r="M9" s="106"/>
      <c r="N9" s="106"/>
      <c r="O9" s="106"/>
      <c r="P9" s="106"/>
      <c r="Q9" s="106"/>
      <c r="R9" s="106"/>
      <c r="S9" s="106"/>
      <c r="AA9" s="47"/>
      <c r="AF9" s="33"/>
      <c r="AG9" s="33"/>
      <c r="AH9" s="38"/>
      <c r="AI9" s="38"/>
      <c r="AK9" s="30"/>
      <c r="AL9" s="30"/>
      <c r="AM9" s="98"/>
      <c r="AN9" s="268"/>
      <c r="AO9" s="169"/>
      <c r="AP9" s="169"/>
      <c r="BA9" s="30" t="str">
        <v>Cuidado</v>
      </c>
      <c r="BB9" s="38"/>
      <c r="BC9" s="38"/>
    </row>
    <row r="10" spans="1:55" x14ac:dyDescent="0.25">
      <c r="A10" s="96"/>
      <c r="B10" s="84"/>
      <c r="C10" s="211"/>
      <c r="D10" s="208"/>
      <c r="E10" s="208"/>
      <c r="F10" s="208"/>
      <c r="G10" s="208"/>
      <c r="H10" s="208"/>
      <c r="I10" s="208"/>
      <c r="J10" s="85"/>
      <c r="K10" s="212"/>
      <c r="L10" s="213"/>
      <c r="M10" s="214"/>
      <c r="N10" s="215"/>
      <c r="O10" s="215"/>
      <c r="P10" s="215"/>
      <c r="Q10" s="215"/>
      <c r="R10" s="215"/>
      <c r="S10" s="215"/>
      <c r="T10" s="71"/>
      <c r="V10" s="84"/>
      <c r="W10" s="85"/>
      <c r="X10" s="85"/>
      <c r="Y10" s="85"/>
      <c r="Z10" s="85"/>
      <c r="AA10" s="216"/>
      <c r="AB10" s="85"/>
      <c r="AC10" s="85"/>
      <c r="AF10" s="33"/>
      <c r="AG10" s="33"/>
      <c r="AH10" s="38"/>
      <c r="AI10" s="217"/>
      <c r="AJ10" s="213"/>
      <c r="AK10" s="214"/>
      <c r="AL10" s="213"/>
      <c r="AM10" s="30"/>
      <c r="AN10" s="30"/>
      <c r="AO10" s="30"/>
      <c r="AP10" s="30"/>
      <c r="BA10" s="85" t="str">
        <v>Lagunas</v>
      </c>
      <c r="BB10" s="38"/>
      <c r="BC10" s="38"/>
    </row>
    <row r="11" spans="1:55" x14ac:dyDescent="0.25">
      <c r="A11" s="96"/>
      <c r="B11" s="84"/>
      <c r="C11" s="211"/>
      <c r="D11" s="208"/>
      <c r="E11" s="208"/>
      <c r="F11" s="208"/>
      <c r="G11" s="208"/>
      <c r="H11" s="208"/>
      <c r="I11" s="208"/>
      <c r="J11" s="85"/>
      <c r="K11" s="212"/>
      <c r="L11" s="213"/>
      <c r="M11" s="214"/>
      <c r="N11" s="215"/>
      <c r="O11" s="215"/>
      <c r="P11" s="215"/>
      <c r="Q11" s="215"/>
      <c r="R11" s="215"/>
      <c r="S11" s="215"/>
      <c r="T11" s="71"/>
      <c r="U11" s="47"/>
      <c r="V11" s="84"/>
      <c r="W11" s="85"/>
      <c r="X11" s="85"/>
      <c r="Y11" s="85"/>
      <c r="Z11" s="85"/>
      <c r="AA11" s="85"/>
      <c r="AB11" s="85"/>
      <c r="AC11" s="85"/>
      <c r="AF11" s="33"/>
      <c r="AG11" s="33"/>
      <c r="AH11" s="38"/>
      <c r="AI11" s="74">
        <f t="shared" ref="AI11:AL11" si="0">MAX(AI16:AI135)</f>
        <v>249562.18907357016</v>
      </c>
      <c r="AJ11" s="74">
        <f t="shared" si="0"/>
        <v>222428.64055623682</v>
      </c>
      <c r="AK11" s="56">
        <f t="shared" si="0"/>
        <v>299570.41554413165</v>
      </c>
      <c r="AL11" s="56">
        <f t="shared" si="0"/>
        <v>266999.7427402953</v>
      </c>
      <c r="AM11" s="30"/>
      <c r="AN11" s="30"/>
      <c r="AO11" s="30"/>
      <c r="AP11" s="30"/>
      <c r="BA11" s="85"/>
    </row>
    <row r="12" spans="1:55" x14ac:dyDescent="0.25">
      <c r="A12" s="374" t="s">
        <v>20</v>
      </c>
      <c r="B12" s="306" t="s">
        <v>167</v>
      </c>
      <c r="C12" s="307"/>
      <c r="D12" s="307"/>
      <c r="E12" s="307"/>
      <c r="F12" s="307"/>
      <c r="G12" s="307"/>
      <c r="H12" s="307"/>
      <c r="I12" s="307"/>
      <c r="J12" s="307"/>
      <c r="K12" s="307"/>
      <c r="L12" s="308"/>
      <c r="M12" s="309" t="s">
        <v>170</v>
      </c>
      <c r="N12" s="310"/>
      <c r="O12" s="310"/>
      <c r="P12" s="310"/>
      <c r="Q12" s="310"/>
      <c r="R12" s="310"/>
      <c r="S12" s="310"/>
      <c r="T12" s="311"/>
      <c r="U12" s="47"/>
      <c r="V12" s="298" t="s">
        <v>171</v>
      </c>
      <c r="W12" s="299"/>
      <c r="X12" s="299"/>
      <c r="Y12" s="299"/>
      <c r="Z12" s="299"/>
      <c r="AA12" s="299"/>
      <c r="AB12" s="299"/>
      <c r="AC12" s="299"/>
      <c r="AD12" s="312" t="s">
        <v>173</v>
      </c>
      <c r="AE12" s="312"/>
      <c r="AF12" s="312"/>
      <c r="AG12" s="312"/>
      <c r="AI12" s="357" t="s">
        <v>138</v>
      </c>
      <c r="AJ12" s="358"/>
      <c r="AK12" s="357" t="s">
        <v>176</v>
      </c>
      <c r="AL12" s="358"/>
      <c r="AM12" s="30"/>
      <c r="AN12" s="30"/>
      <c r="AO12" s="30"/>
      <c r="AP12" s="30"/>
      <c r="BA12" s="58"/>
      <c r="BB12" s="58"/>
      <c r="BC12" s="58"/>
    </row>
    <row r="13" spans="1:55" s="58" customFormat="1" ht="44.25" customHeight="1" x14ac:dyDescent="0.25">
      <c r="A13" s="375"/>
      <c r="B13" s="394" t="s">
        <v>120</v>
      </c>
      <c r="C13" s="397" t="s">
        <v>104</v>
      </c>
      <c r="D13" s="363" t="s">
        <v>106</v>
      </c>
      <c r="E13" s="364"/>
      <c r="F13" s="363" t="s">
        <v>109</v>
      </c>
      <c r="G13" s="364"/>
      <c r="H13" s="400" t="s">
        <v>118</v>
      </c>
      <c r="I13" s="363" t="s">
        <v>108</v>
      </c>
      <c r="J13" s="364"/>
      <c r="K13" s="363" t="s">
        <v>107</v>
      </c>
      <c r="L13" s="364"/>
      <c r="M13" s="350" t="s">
        <v>160</v>
      </c>
      <c r="N13" s="350"/>
      <c r="O13" s="350" t="s">
        <v>161</v>
      </c>
      <c r="P13" s="350"/>
      <c r="Q13" s="377" t="s">
        <v>139</v>
      </c>
      <c r="R13" s="378"/>
      <c r="S13" s="377" t="s">
        <v>140</v>
      </c>
      <c r="T13" s="378"/>
      <c r="U13" s="63"/>
      <c r="V13" s="349" t="s">
        <v>130</v>
      </c>
      <c r="W13" s="349"/>
      <c r="X13" s="349" t="s">
        <v>292</v>
      </c>
      <c r="Y13" s="349"/>
      <c r="Z13" s="383" t="s">
        <v>172</v>
      </c>
      <c r="AA13" s="384"/>
      <c r="AB13" s="387" t="s">
        <v>283</v>
      </c>
      <c r="AC13" s="388"/>
      <c r="AD13" s="381" t="s">
        <v>2</v>
      </c>
      <c r="AE13" s="351" t="s">
        <v>175</v>
      </c>
      <c r="AF13" s="353" t="s">
        <v>174</v>
      </c>
      <c r="AG13" s="354"/>
      <c r="AI13" s="359"/>
      <c r="AJ13" s="360"/>
      <c r="AK13" s="359"/>
      <c r="AL13" s="360"/>
      <c r="AM13" s="30"/>
      <c r="AN13" s="30"/>
      <c r="AO13" s="30"/>
      <c r="AP13" s="30"/>
      <c r="AQ13" s="30"/>
      <c r="AR13" s="30"/>
      <c r="AS13" s="30"/>
      <c r="AT13" s="30"/>
      <c r="AU13" s="30"/>
      <c r="AV13" s="30"/>
    </row>
    <row r="14" spans="1:55" ht="15" customHeight="1" x14ac:dyDescent="0.25">
      <c r="A14" s="375"/>
      <c r="B14" s="395"/>
      <c r="C14" s="398"/>
      <c r="D14" s="365"/>
      <c r="E14" s="366"/>
      <c r="F14" s="365"/>
      <c r="G14" s="366"/>
      <c r="H14" s="401"/>
      <c r="I14" s="365"/>
      <c r="J14" s="366"/>
      <c r="K14" s="365"/>
      <c r="L14" s="366"/>
      <c r="M14" s="30" t="s">
        <v>168</v>
      </c>
      <c r="N14" s="36"/>
      <c r="O14" s="30" t="s">
        <v>168</v>
      </c>
      <c r="P14" s="36"/>
      <c r="Q14" s="379"/>
      <c r="R14" s="380"/>
      <c r="S14" s="379"/>
      <c r="T14" s="380"/>
      <c r="U14" s="64"/>
      <c r="V14" s="30" t="s">
        <v>123</v>
      </c>
      <c r="W14" s="36"/>
      <c r="X14" s="30" t="s">
        <v>123</v>
      </c>
      <c r="Y14" s="36"/>
      <c r="Z14" s="385"/>
      <c r="AA14" s="386"/>
      <c r="AB14" s="389"/>
      <c r="AC14" s="390"/>
      <c r="AD14" s="382"/>
      <c r="AE14" s="352"/>
      <c r="AF14" s="355"/>
      <c r="AG14" s="356"/>
      <c r="AI14" s="361"/>
      <c r="AJ14" s="362"/>
      <c r="AK14" s="361"/>
      <c r="AL14" s="362"/>
      <c r="AM14" s="30"/>
      <c r="AN14" s="30"/>
      <c r="AO14" s="30"/>
      <c r="AP14" s="30"/>
    </row>
    <row r="15" spans="1:55" x14ac:dyDescent="0.25">
      <c r="A15" s="376"/>
      <c r="B15" s="396"/>
      <c r="C15" s="399"/>
      <c r="D15" s="109" t="s">
        <v>2</v>
      </c>
      <c r="E15" s="109" t="s">
        <v>105</v>
      </c>
      <c r="F15" s="109" t="s">
        <v>165</v>
      </c>
      <c r="G15" s="109" t="s">
        <v>166</v>
      </c>
      <c r="H15" s="402"/>
      <c r="I15" s="109" t="s">
        <v>165</v>
      </c>
      <c r="J15" s="109" t="s">
        <v>166</v>
      </c>
      <c r="K15" s="109" t="s">
        <v>165</v>
      </c>
      <c r="L15" s="109" t="s">
        <v>166</v>
      </c>
      <c r="M15" s="30" t="s">
        <v>110</v>
      </c>
      <c r="N15" s="30" t="s">
        <v>111</v>
      </c>
      <c r="O15" s="30" t="s">
        <v>110</v>
      </c>
      <c r="P15" s="30" t="s">
        <v>111</v>
      </c>
      <c r="Q15" s="30" t="s">
        <v>110</v>
      </c>
      <c r="R15" s="30" t="s">
        <v>111</v>
      </c>
      <c r="S15" s="30" t="s">
        <v>110</v>
      </c>
      <c r="T15" s="30" t="s">
        <v>111</v>
      </c>
      <c r="U15" s="47"/>
      <c r="V15" s="30" t="s">
        <v>110</v>
      </c>
      <c r="W15" s="30" t="s">
        <v>111</v>
      </c>
      <c r="X15" s="30" t="s">
        <v>110</v>
      </c>
      <c r="Y15" s="30" t="s">
        <v>111</v>
      </c>
      <c r="Z15" s="30" t="s">
        <v>110</v>
      </c>
      <c r="AA15" s="30" t="s">
        <v>111</v>
      </c>
      <c r="AB15" s="30" t="s">
        <v>110</v>
      </c>
      <c r="AC15" s="30" t="s">
        <v>111</v>
      </c>
      <c r="AD15" s="30" t="s">
        <v>111</v>
      </c>
      <c r="AE15" s="30" t="s">
        <v>111</v>
      </c>
      <c r="AF15" s="30" t="s">
        <v>110</v>
      </c>
      <c r="AG15" s="30" t="s">
        <v>111</v>
      </c>
      <c r="AI15" s="33" t="s">
        <v>110</v>
      </c>
      <c r="AJ15" s="33" t="s">
        <v>111</v>
      </c>
      <c r="AK15" s="33" t="s">
        <v>110</v>
      </c>
      <c r="AL15" s="33" t="s">
        <v>111</v>
      </c>
      <c r="AM15" s="30"/>
      <c r="AN15" s="30"/>
      <c r="AO15" s="30"/>
      <c r="AP15" s="30"/>
    </row>
    <row r="16" spans="1:55" x14ac:dyDescent="0.25">
      <c r="A16" s="30">
        <v>1981</v>
      </c>
      <c r="B16" s="33">
        <f>w_uf*UF*Parámetros!C3</f>
        <v>380780.03679971903</v>
      </c>
      <c r="C16" s="30">
        <f t="shared" ref="C16:C57" si="1">IF(AND(A16-a_nac&lt;=110,A16-a_nac&gt;0),A16-a_nac,"")</f>
        <v>2</v>
      </c>
      <c r="D16" s="30">
        <f>((A16=Inputs!$C$12)*(Inputs!$D$12) + (A16=Inputs!$C$13)*(Inputs!$D$13) + (A16=Inputs!$C$14)*(Inputs!$D$14)) *(A16 &gt;= a_afil)*(A16&gt;=2024)</f>
        <v>0</v>
      </c>
      <c r="E16" s="30">
        <v>0</v>
      </c>
      <c r="F16" s="30">
        <f t="shared" ref="F16:F47" si="2" xml:space="preserve"> (C16&lt;edad_ret_h) * (A16&gt;=a_afil)</f>
        <v>0</v>
      </c>
      <c r="G16" s="30">
        <f t="shared" ref="G16:G47" si="3" xml:space="preserve"> (C16&lt;edad_ret_m) * (A16&gt;=a_afil)</f>
        <v>0</v>
      </c>
      <c r="H16" s="30">
        <v>0.11547011137008667</v>
      </c>
      <c r="I16" s="37">
        <f t="shared" ref="I16:I58" si="4">IF(F16=1,+dens_cot,0)</f>
        <v>0</v>
      </c>
      <c r="J16" s="37">
        <f t="shared" ref="J16:J58" si="5">IF(G16=1,+dens_mujer,0)</f>
        <v>0</v>
      </c>
      <c r="L16" s="96"/>
      <c r="M16" s="72"/>
      <c r="N16" s="62"/>
      <c r="O16" s="62"/>
      <c r="P16" s="62"/>
      <c r="Q16" s="54">
        <f>MIN($B16,VLOOKUP($A16,Parámetros!$A$2:$J$122,8,FALSE)*UF)*12*I16*$X$2</f>
        <v>0</v>
      </c>
      <c r="R16" s="54">
        <f>MIN($B16,VLOOKUP($A16,Parámetros!$A$2:$J$122,8,FALSE)*UF)*12*J16*$X$2</f>
        <v>0</v>
      </c>
      <c r="S16" s="54">
        <f>MIN($B16,VLOOKUP($A16,Parámetros!$A$2:$J$122,8,FALSE)*UF)*12*I16*$X$2</f>
        <v>0</v>
      </c>
      <c r="T16" s="54">
        <f>MIN($B16,VLOOKUP($A16,Parámetros!$A$2:$J$122,8,FALSE)*UF)*12*J16*$X$2</f>
        <v>0</v>
      </c>
      <c r="U16" s="47"/>
      <c r="V16" s="62"/>
      <c r="W16" s="62"/>
      <c r="X16" s="62"/>
      <c r="Y16" s="62"/>
      <c r="Z16" s="54"/>
      <c r="AA16" s="54"/>
      <c r="AB16" s="38"/>
      <c r="AC16" s="38"/>
      <c r="AI16" s="52">
        <f t="shared" ref="AI16:AI47" si="6">($A16=D$9)*Z16/(12*_xlfn.XLOOKUP(AI$15,sexo_cnu,cnu))</f>
        <v>0</v>
      </c>
      <c r="AJ16" s="52">
        <f t="shared" ref="AJ16:AJ47" si="7">($A16=E$9)*AA16/(12*_xlfn.XLOOKUP(AJ$15,sexo_cnu,cnu))</f>
        <v>0</v>
      </c>
      <c r="AK16" s="52">
        <f t="shared" ref="AK16:AK47" si="8">($A16=D$9)*AB16/(12*_xlfn.XLOOKUP(AK$15,sexo_cnu,cnu))</f>
        <v>0</v>
      </c>
      <c r="AL16" s="52">
        <f t="shared" ref="AL16:AL47" si="9">($A16=E$9)*AC16/(12*_xlfn.XLOOKUP(AL$15,sexo_cnu,cnu))</f>
        <v>0</v>
      </c>
      <c r="AM16" s="39"/>
      <c r="AN16" s="30"/>
      <c r="AO16" s="30"/>
      <c r="AP16" s="30"/>
    </row>
    <row r="17" spans="1:42" x14ac:dyDescent="0.25">
      <c r="A17" s="30">
        <v>1982</v>
      </c>
      <c r="B17" s="33">
        <f>w_uf*UF*Parámetros!C4</f>
        <v>407279.08360989951</v>
      </c>
      <c r="C17" s="30">
        <f t="shared" si="1"/>
        <v>3</v>
      </c>
      <c r="D17" s="30">
        <f>((A17=Inputs!$C$12)*(Inputs!$D$12) + (A17=Inputs!$C$13)*(Inputs!$D$13) + (A17=Inputs!$C$14)*(Inputs!$D$14)) *(A17 &gt;= a_afil)*(A17&gt;=2024)</f>
        <v>0</v>
      </c>
      <c r="E17" s="30">
        <v>0</v>
      </c>
      <c r="F17" s="30">
        <f t="shared" si="2"/>
        <v>0</v>
      </c>
      <c r="G17" s="30">
        <f t="shared" si="3"/>
        <v>0</v>
      </c>
      <c r="H17" s="30">
        <v>0.17377340793609619</v>
      </c>
      <c r="I17" s="37">
        <f t="shared" si="4"/>
        <v>0</v>
      </c>
      <c r="J17" s="37">
        <f t="shared" si="5"/>
        <v>0</v>
      </c>
      <c r="K17" s="84"/>
      <c r="L17" s="101"/>
      <c r="M17" s="72"/>
      <c r="N17" s="62"/>
      <c r="O17" s="62"/>
      <c r="P17" s="62"/>
      <c r="Q17" s="54">
        <f>MIN($B17,VLOOKUP($A17,Parámetros!$A$2:$J$122,8,FALSE)*UF)*12*I17*$X$2</f>
        <v>0</v>
      </c>
      <c r="R17" s="54">
        <f>MIN($B17,VLOOKUP($A17,Parámetros!$A$2:$J$122,8,FALSE)*UF)*12*J17*$X$2</f>
        <v>0</v>
      </c>
      <c r="S17" s="54">
        <f>MIN($B17,VLOOKUP($A17,Parámetros!$A$2:$J$122,8,FALSE)*UF)*12*I17*$X$2</f>
        <v>0</v>
      </c>
      <c r="T17" s="54">
        <f>MIN($B17,VLOOKUP($A17,Parámetros!$A$2:$J$122,8,FALSE)*UF)*12*J17*$X$2</f>
        <v>0</v>
      </c>
      <c r="U17" s="47"/>
      <c r="V17" s="62"/>
      <c r="W17" s="62"/>
      <c r="X17" s="62"/>
      <c r="Y17" s="62"/>
      <c r="Z17" s="54">
        <f t="shared" ref="Z17:Z48" si="10">F16*Z16*(1+_xlfn.XLOOKUP(MIN(2024,$A16),agnos_rent,rent_base))+Q17</f>
        <v>0</v>
      </c>
      <c r="AA17" s="54">
        <f t="shared" ref="AA17:AA48" si="11">G16*AA16*(1+_xlfn.XLOOKUP(MIN(2024,$A16),agnos_rent,rent_base))+R17</f>
        <v>0</v>
      </c>
      <c r="AB17" s="70">
        <f t="shared" ref="AB17:AB58" si="12">F16*AB16*(1+_xlfn.XLOOKUP(MIN(2024,$A16),agnos_rent,rent_base))+S17</f>
        <v>0</v>
      </c>
      <c r="AC17" s="70">
        <f t="shared" ref="AC17:AC58" si="13">G16*AC16*(1+_xlfn.XLOOKUP(MIN(2024,$A16),agnos_rent,rent_base))+T17</f>
        <v>0</v>
      </c>
      <c r="AI17" s="52">
        <f t="shared" si="6"/>
        <v>0</v>
      </c>
      <c r="AJ17" s="52">
        <f t="shared" si="7"/>
        <v>0</v>
      </c>
      <c r="AK17" s="52">
        <f t="shared" si="8"/>
        <v>0</v>
      </c>
      <c r="AL17" s="52">
        <f t="shared" si="9"/>
        <v>0</v>
      </c>
      <c r="AM17" s="39"/>
      <c r="AN17" s="30"/>
      <c r="AO17" s="30"/>
      <c r="AP17" s="30"/>
    </row>
    <row r="18" spans="1:42" x14ac:dyDescent="0.25">
      <c r="A18" s="30">
        <v>1983</v>
      </c>
      <c r="B18" s="33">
        <f>w_uf*UF*Parámetros!C5</f>
        <v>416549.90038654342</v>
      </c>
      <c r="C18" s="30">
        <f t="shared" si="1"/>
        <v>4</v>
      </c>
      <c r="D18" s="30">
        <f>((A18=Inputs!$C$12)*(Inputs!$D$12) + (A18=Inputs!$C$13)*(Inputs!$D$13) + (A18=Inputs!$C$14)*(Inputs!$D$14)) *(A18 &gt;= a_afil)*(A18&gt;=2024)</f>
        <v>0</v>
      </c>
      <c r="E18" s="30">
        <v>0</v>
      </c>
      <c r="F18" s="30">
        <f t="shared" si="2"/>
        <v>0</v>
      </c>
      <c r="G18" s="30">
        <f t="shared" si="3"/>
        <v>0</v>
      </c>
      <c r="H18" s="30">
        <v>4.8118889331817627E-2</v>
      </c>
      <c r="I18" s="37">
        <f t="shared" si="4"/>
        <v>0</v>
      </c>
      <c r="J18" s="37">
        <f t="shared" si="5"/>
        <v>0</v>
      </c>
      <c r="K18" s="84"/>
      <c r="L18" s="71"/>
      <c r="M18" s="72"/>
      <c r="N18" s="62"/>
      <c r="O18" s="62"/>
      <c r="P18" s="62"/>
      <c r="Q18" s="54">
        <f>MIN($B18,VLOOKUP($A18,Parámetros!$A$2:$J$122,8,FALSE)*UF)*12*I18*$X$2</f>
        <v>0</v>
      </c>
      <c r="R18" s="54">
        <f>MIN($B18,VLOOKUP($A18,Parámetros!$A$2:$J$122,8,FALSE)*UF)*12*J18*$X$2</f>
        <v>0</v>
      </c>
      <c r="S18" s="54">
        <f>MIN($B18,VLOOKUP($A18,Parámetros!$A$2:$J$122,8,FALSE)*UF)*12*I18*$X$2</f>
        <v>0</v>
      </c>
      <c r="T18" s="54">
        <f>MIN($B18,VLOOKUP($A18,Parámetros!$A$2:$J$122,8,FALSE)*UF)*12*J18*$X$2</f>
        <v>0</v>
      </c>
      <c r="U18" s="47"/>
      <c r="V18" s="62"/>
      <c r="W18" s="62"/>
      <c r="X18" s="62"/>
      <c r="Y18" s="62"/>
      <c r="Z18" s="54">
        <f t="shared" si="10"/>
        <v>0</v>
      </c>
      <c r="AA18" s="54">
        <f t="shared" si="11"/>
        <v>0</v>
      </c>
      <c r="AB18" s="54">
        <f t="shared" si="12"/>
        <v>0</v>
      </c>
      <c r="AC18" s="54">
        <f t="shared" si="13"/>
        <v>0</v>
      </c>
      <c r="AI18" s="52">
        <f t="shared" si="6"/>
        <v>0</v>
      </c>
      <c r="AJ18" s="52">
        <f t="shared" si="7"/>
        <v>0</v>
      </c>
      <c r="AK18" s="52">
        <f t="shared" si="8"/>
        <v>0</v>
      </c>
      <c r="AL18" s="52">
        <f t="shared" si="9"/>
        <v>0</v>
      </c>
      <c r="AM18" s="39"/>
      <c r="AN18" s="30"/>
      <c r="AO18" s="30"/>
      <c r="AP18" s="30"/>
    </row>
    <row r="19" spans="1:42" x14ac:dyDescent="0.25">
      <c r="A19" s="30">
        <v>1984</v>
      </c>
      <c r="B19" s="33">
        <f>w_uf*UF*Parámetros!C6</f>
        <v>370107.77342588617</v>
      </c>
      <c r="C19" s="30">
        <f t="shared" si="1"/>
        <v>5</v>
      </c>
      <c r="D19" s="30">
        <f>((A19=Inputs!$C$12)*(Inputs!$D$12) + (A19=Inputs!$C$13)*(Inputs!$D$13) + (A19=Inputs!$C$14)*(Inputs!$D$14)) *(A19 &gt;= a_afil)*(A19&gt;=2024)</f>
        <v>0</v>
      </c>
      <c r="E19" s="30">
        <v>0</v>
      </c>
      <c r="F19" s="30">
        <f t="shared" si="2"/>
        <v>0</v>
      </c>
      <c r="G19" s="30">
        <f t="shared" si="3"/>
        <v>0</v>
      </c>
      <c r="H19" s="30">
        <v>0.71481633186340332</v>
      </c>
      <c r="I19" s="37">
        <f t="shared" si="4"/>
        <v>0</v>
      </c>
      <c r="J19" s="37">
        <f t="shared" si="5"/>
        <v>0</v>
      </c>
      <c r="K19" s="84"/>
      <c r="L19" s="71"/>
      <c r="M19" s="72"/>
      <c r="N19" s="62"/>
      <c r="O19" s="62"/>
      <c r="P19" s="62"/>
      <c r="Q19" s="54">
        <f>MIN($B19,VLOOKUP($A19,Parámetros!$A$2:$J$122,8,FALSE)*UF)*12*I19*$X$2</f>
        <v>0</v>
      </c>
      <c r="R19" s="54">
        <f>MIN($B19,VLOOKUP($A19,Parámetros!$A$2:$J$122,8,FALSE)*UF)*12*J19*$X$2</f>
        <v>0</v>
      </c>
      <c r="S19" s="54">
        <f>MIN($B19,VLOOKUP($A19,Parámetros!$A$2:$J$122,8,FALSE)*UF)*12*I19*$X$2</f>
        <v>0</v>
      </c>
      <c r="T19" s="54">
        <f>MIN($B19,VLOOKUP($A19,Parámetros!$A$2:$J$122,8,FALSE)*UF)*12*J19*$X$2</f>
        <v>0</v>
      </c>
      <c r="U19" s="47"/>
      <c r="V19" s="62"/>
      <c r="W19" s="62"/>
      <c r="X19" s="62"/>
      <c r="Y19" s="62"/>
      <c r="Z19" s="54">
        <f t="shared" si="10"/>
        <v>0</v>
      </c>
      <c r="AA19" s="54">
        <f t="shared" si="11"/>
        <v>0</v>
      </c>
      <c r="AB19" s="54">
        <f t="shared" si="12"/>
        <v>0</v>
      </c>
      <c r="AC19" s="54">
        <f t="shared" si="13"/>
        <v>0</v>
      </c>
      <c r="AI19" s="52">
        <f t="shared" si="6"/>
        <v>0</v>
      </c>
      <c r="AJ19" s="52">
        <f t="shared" si="7"/>
        <v>0</v>
      </c>
      <c r="AK19" s="52">
        <f t="shared" si="8"/>
        <v>0</v>
      </c>
      <c r="AL19" s="52">
        <f t="shared" si="9"/>
        <v>0</v>
      </c>
      <c r="AM19" s="39"/>
      <c r="AN19" s="30"/>
      <c r="AO19" s="30"/>
      <c r="AP19" s="30"/>
    </row>
    <row r="20" spans="1:42" x14ac:dyDescent="0.25">
      <c r="A20" s="30">
        <v>1985</v>
      </c>
      <c r="B20" s="33">
        <f>w_uf*UF*Parámetros!C7</f>
        <v>371644.21891942294</v>
      </c>
      <c r="C20" s="30">
        <f t="shared" si="1"/>
        <v>6</v>
      </c>
      <c r="D20" s="30">
        <f>((A20=Inputs!$C$12)*(Inputs!$D$12) + (A20=Inputs!$C$13)*(Inputs!$D$13) + (A20=Inputs!$C$14)*(Inputs!$D$14)) *(A20 &gt;= a_afil)*(A20&gt;=2024)</f>
        <v>0</v>
      </c>
      <c r="E20" s="30">
        <v>0</v>
      </c>
      <c r="F20" s="30">
        <f t="shared" si="2"/>
        <v>0</v>
      </c>
      <c r="G20" s="30">
        <f t="shared" si="3"/>
        <v>0</v>
      </c>
      <c r="H20" s="30">
        <v>0.53302234411239624</v>
      </c>
      <c r="I20" s="37">
        <f t="shared" si="4"/>
        <v>0</v>
      </c>
      <c r="J20" s="37">
        <f t="shared" si="5"/>
        <v>0</v>
      </c>
      <c r="K20" s="84"/>
      <c r="L20" s="71"/>
      <c r="M20" s="72"/>
      <c r="N20" s="62"/>
      <c r="O20" s="62"/>
      <c r="P20" s="62"/>
      <c r="Q20" s="54">
        <f>MIN($B20,VLOOKUP($A20,Parámetros!$A$2:$J$122,8,FALSE)*UF)*12*I20*$X$2</f>
        <v>0</v>
      </c>
      <c r="R20" s="54">
        <f>MIN($B20,VLOOKUP($A20,Parámetros!$A$2:$J$122,8,FALSE)*UF)*12*J20*$X$2</f>
        <v>0</v>
      </c>
      <c r="S20" s="54">
        <f>MIN($B20,VLOOKUP($A20,Parámetros!$A$2:$J$122,8,FALSE)*UF)*12*I20*$X$2</f>
        <v>0</v>
      </c>
      <c r="T20" s="54">
        <f>MIN($B20,VLOOKUP($A20,Parámetros!$A$2:$J$122,8,FALSE)*UF)*12*J20*$X$2</f>
        <v>0</v>
      </c>
      <c r="U20" s="47"/>
      <c r="V20" s="62"/>
      <c r="W20" s="62"/>
      <c r="X20" s="62"/>
      <c r="Y20" s="62"/>
      <c r="Z20" s="54">
        <f t="shared" si="10"/>
        <v>0</v>
      </c>
      <c r="AA20" s="54">
        <f t="shared" si="11"/>
        <v>0</v>
      </c>
      <c r="AB20" s="54">
        <f t="shared" si="12"/>
        <v>0</v>
      </c>
      <c r="AC20" s="54">
        <f t="shared" si="13"/>
        <v>0</v>
      </c>
      <c r="AI20" s="52">
        <f t="shared" si="6"/>
        <v>0</v>
      </c>
      <c r="AJ20" s="52">
        <f t="shared" si="7"/>
        <v>0</v>
      </c>
      <c r="AK20" s="52">
        <f t="shared" si="8"/>
        <v>0</v>
      </c>
      <c r="AL20" s="52">
        <f t="shared" si="9"/>
        <v>0</v>
      </c>
      <c r="AM20" s="39"/>
      <c r="AN20" s="30"/>
      <c r="AO20" s="30"/>
      <c r="AP20" s="30"/>
    </row>
    <row r="21" spans="1:42" x14ac:dyDescent="0.25">
      <c r="A21" s="30">
        <v>1986</v>
      </c>
      <c r="B21" s="33">
        <f>w_uf*UF*Parámetros!C8</f>
        <v>355266.04053559707</v>
      </c>
      <c r="C21" s="30">
        <f t="shared" si="1"/>
        <v>7</v>
      </c>
      <c r="D21" s="30">
        <f>((A21=Inputs!$C$12)*(Inputs!$D$12) + (A21=Inputs!$C$13)*(Inputs!$D$13) + (A21=Inputs!$C$14)*(Inputs!$D$14)) *(A21 &gt;= a_afil)*(A21&gt;=2024)</f>
        <v>0</v>
      </c>
      <c r="E21" s="30">
        <v>0</v>
      </c>
      <c r="F21" s="30">
        <f t="shared" si="2"/>
        <v>0</v>
      </c>
      <c r="G21" s="30">
        <f t="shared" si="3"/>
        <v>0</v>
      </c>
      <c r="H21" s="30">
        <v>0.56100928783416748</v>
      </c>
      <c r="I21" s="37">
        <f t="shared" si="4"/>
        <v>0</v>
      </c>
      <c r="J21" s="37">
        <f t="shared" si="5"/>
        <v>0</v>
      </c>
      <c r="K21" s="84"/>
      <c r="L21" s="71"/>
      <c r="M21" s="72"/>
      <c r="N21" s="62"/>
      <c r="O21" s="62"/>
      <c r="P21" s="62"/>
      <c r="Q21" s="54">
        <f>MIN($B21,VLOOKUP($A21,Parámetros!$A$2:$J$122,8,FALSE)*UF)*12*I21*$X$2</f>
        <v>0</v>
      </c>
      <c r="R21" s="54">
        <f>MIN($B21,VLOOKUP($A21,Parámetros!$A$2:$J$122,8,FALSE)*UF)*12*J21*$X$2</f>
        <v>0</v>
      </c>
      <c r="S21" s="54">
        <f>MIN($B21,VLOOKUP($A21,Parámetros!$A$2:$J$122,8,FALSE)*UF)*12*I21*$X$2</f>
        <v>0</v>
      </c>
      <c r="T21" s="54">
        <f>MIN($B21,VLOOKUP($A21,Parámetros!$A$2:$J$122,8,FALSE)*UF)*12*J21*$X$2</f>
        <v>0</v>
      </c>
      <c r="U21" s="47"/>
      <c r="V21" s="62"/>
      <c r="W21" s="62"/>
      <c r="X21" s="62"/>
      <c r="Y21" s="62"/>
      <c r="Z21" s="54">
        <f t="shared" si="10"/>
        <v>0</v>
      </c>
      <c r="AA21" s="54">
        <f t="shared" si="11"/>
        <v>0</v>
      </c>
      <c r="AB21" s="54">
        <f t="shared" si="12"/>
        <v>0</v>
      </c>
      <c r="AC21" s="54">
        <f t="shared" si="13"/>
        <v>0</v>
      </c>
      <c r="AI21" s="52">
        <f t="shared" si="6"/>
        <v>0</v>
      </c>
      <c r="AJ21" s="52">
        <f t="shared" si="7"/>
        <v>0</v>
      </c>
      <c r="AK21" s="52">
        <f t="shared" si="8"/>
        <v>0</v>
      </c>
      <c r="AL21" s="52">
        <f t="shared" si="9"/>
        <v>0</v>
      </c>
      <c r="AM21" s="39"/>
      <c r="AN21" s="30"/>
      <c r="AO21" s="30"/>
      <c r="AP21" s="30"/>
    </row>
    <row r="22" spans="1:42" x14ac:dyDescent="0.25">
      <c r="A22" s="30">
        <v>1987</v>
      </c>
      <c r="B22" s="33">
        <f>w_uf*UF*Parámetros!C9</f>
        <v>359257.97682883986</v>
      </c>
      <c r="C22" s="30">
        <f t="shared" si="1"/>
        <v>8</v>
      </c>
      <c r="D22" s="30">
        <f>((A22=Inputs!$C$12)*(Inputs!$D$12) + (A22=Inputs!$C$13)*(Inputs!$D$13) + (A22=Inputs!$C$14)*(Inputs!$D$14)) *(A22 &gt;= a_afil)*(A22&gt;=2024)</f>
        <v>0</v>
      </c>
      <c r="E22" s="30">
        <v>0</v>
      </c>
      <c r="F22" s="30">
        <f t="shared" si="2"/>
        <v>0</v>
      </c>
      <c r="G22" s="30">
        <f t="shared" si="3"/>
        <v>0</v>
      </c>
      <c r="H22" s="30">
        <v>0.21673351526260376</v>
      </c>
      <c r="I22" s="37">
        <f t="shared" si="4"/>
        <v>0</v>
      </c>
      <c r="J22" s="37">
        <f t="shared" si="5"/>
        <v>0</v>
      </c>
      <c r="K22" s="84"/>
      <c r="L22" s="71"/>
      <c r="M22" s="72"/>
      <c r="N22" s="62"/>
      <c r="O22" s="62"/>
      <c r="P22" s="62"/>
      <c r="Q22" s="54">
        <f>MIN($B22,VLOOKUP($A22,Parámetros!$A$2:$J$122,8,FALSE)*UF)*12*I22*$X$2</f>
        <v>0</v>
      </c>
      <c r="R22" s="54">
        <f>MIN($B22,VLOOKUP($A22,Parámetros!$A$2:$J$122,8,FALSE)*UF)*12*J22*$X$2</f>
        <v>0</v>
      </c>
      <c r="S22" s="54">
        <f>MIN($B22,VLOOKUP($A22,Parámetros!$A$2:$J$122,8,FALSE)*UF)*12*I22*$X$2</f>
        <v>0</v>
      </c>
      <c r="T22" s="54">
        <f>MIN($B22,VLOOKUP($A22,Parámetros!$A$2:$J$122,8,FALSE)*UF)*12*J22*$X$2</f>
        <v>0</v>
      </c>
      <c r="U22" s="47"/>
      <c r="V22" s="62"/>
      <c r="W22" s="62"/>
      <c r="X22" s="62"/>
      <c r="Y22" s="62"/>
      <c r="Z22" s="54">
        <f t="shared" si="10"/>
        <v>0</v>
      </c>
      <c r="AA22" s="54">
        <f t="shared" si="11"/>
        <v>0</v>
      </c>
      <c r="AB22" s="54">
        <f t="shared" si="12"/>
        <v>0</v>
      </c>
      <c r="AC22" s="54">
        <f t="shared" si="13"/>
        <v>0</v>
      </c>
      <c r="AI22" s="52">
        <f t="shared" si="6"/>
        <v>0</v>
      </c>
      <c r="AJ22" s="52">
        <f t="shared" si="7"/>
        <v>0</v>
      </c>
      <c r="AK22" s="52">
        <f t="shared" si="8"/>
        <v>0</v>
      </c>
      <c r="AL22" s="52">
        <f t="shared" si="9"/>
        <v>0</v>
      </c>
      <c r="AM22" s="39"/>
      <c r="AN22" s="30"/>
      <c r="AO22" s="30"/>
      <c r="AP22" s="30"/>
    </row>
    <row r="23" spans="1:42" x14ac:dyDescent="0.25">
      <c r="A23" s="30">
        <v>1988</v>
      </c>
      <c r="B23" s="33">
        <f>w_uf*UF*Parámetros!C10</f>
        <v>360615.50271978014</v>
      </c>
      <c r="C23" s="30">
        <f t="shared" si="1"/>
        <v>9</v>
      </c>
      <c r="D23" s="30">
        <f>((A23=Inputs!$C$12)*(Inputs!$D$12) + (A23=Inputs!$C$13)*(Inputs!$D$13) + (A23=Inputs!$C$14)*(Inputs!$D$14)) *(A23 &gt;= a_afil)*(A23&gt;=2024)</f>
        <v>0</v>
      </c>
      <c r="E23" s="30">
        <v>0</v>
      </c>
      <c r="F23" s="30">
        <f t="shared" si="2"/>
        <v>0</v>
      </c>
      <c r="G23" s="30">
        <f t="shared" si="3"/>
        <v>0</v>
      </c>
      <c r="H23" s="30">
        <v>0.46800565719604492</v>
      </c>
      <c r="I23" s="37">
        <f t="shared" si="4"/>
        <v>0</v>
      </c>
      <c r="J23" s="37">
        <f t="shared" si="5"/>
        <v>0</v>
      </c>
      <c r="K23" s="84"/>
      <c r="L23" s="71"/>
      <c r="M23" s="72"/>
      <c r="N23" s="62"/>
      <c r="O23" s="62"/>
      <c r="P23" s="62"/>
      <c r="Q23" s="54">
        <f>MIN($B23,VLOOKUP($A23,Parámetros!$A$2:$J$122,8,FALSE)*UF)*12*I23*$X$2</f>
        <v>0</v>
      </c>
      <c r="R23" s="54">
        <f>MIN($B23,VLOOKUP($A23,Parámetros!$A$2:$J$122,8,FALSE)*UF)*12*J23*$X$2</f>
        <v>0</v>
      </c>
      <c r="S23" s="54">
        <f>MIN($B23,VLOOKUP($A23,Parámetros!$A$2:$J$122,8,FALSE)*UF)*12*I23*$X$2</f>
        <v>0</v>
      </c>
      <c r="T23" s="54">
        <f>MIN($B23,VLOOKUP($A23,Parámetros!$A$2:$J$122,8,FALSE)*UF)*12*J23*$X$2</f>
        <v>0</v>
      </c>
      <c r="U23" s="47"/>
      <c r="V23" s="62"/>
      <c r="W23" s="62"/>
      <c r="X23" s="62"/>
      <c r="Y23" s="62"/>
      <c r="Z23" s="54">
        <f t="shared" si="10"/>
        <v>0</v>
      </c>
      <c r="AA23" s="54">
        <f t="shared" si="11"/>
        <v>0</v>
      </c>
      <c r="AB23" s="54">
        <f t="shared" si="12"/>
        <v>0</v>
      </c>
      <c r="AC23" s="54">
        <f t="shared" si="13"/>
        <v>0</v>
      </c>
      <c r="AI23" s="52">
        <f t="shared" si="6"/>
        <v>0</v>
      </c>
      <c r="AJ23" s="52">
        <f t="shared" si="7"/>
        <v>0</v>
      </c>
      <c r="AK23" s="52">
        <f t="shared" si="8"/>
        <v>0</v>
      </c>
      <c r="AL23" s="52">
        <f t="shared" si="9"/>
        <v>0</v>
      </c>
      <c r="AM23" s="39"/>
      <c r="AN23" s="30"/>
      <c r="AO23" s="30"/>
      <c r="AP23" s="30"/>
    </row>
    <row r="24" spans="1:42" x14ac:dyDescent="0.25">
      <c r="A24" s="30">
        <v>1989</v>
      </c>
      <c r="B24" s="33">
        <f>w_uf*UF*Parámetros!C11</f>
        <v>380483.57160776353</v>
      </c>
      <c r="C24" s="30">
        <f t="shared" si="1"/>
        <v>10</v>
      </c>
      <c r="D24" s="30">
        <f>((A24=Inputs!$C$12)*(Inputs!$D$12) + (A24=Inputs!$C$13)*(Inputs!$D$13) + (A24=Inputs!$C$14)*(Inputs!$D$14)) *(A24 &gt;= a_afil)*(A24&gt;=2024)</f>
        <v>0</v>
      </c>
      <c r="E24" s="30">
        <v>0</v>
      </c>
      <c r="F24" s="30">
        <f t="shared" si="2"/>
        <v>0</v>
      </c>
      <c r="G24" s="30">
        <f t="shared" si="3"/>
        <v>0</v>
      </c>
      <c r="H24" s="30">
        <v>0.74635475873947144</v>
      </c>
      <c r="I24" s="37">
        <f t="shared" si="4"/>
        <v>0</v>
      </c>
      <c r="J24" s="37">
        <f t="shared" si="5"/>
        <v>0</v>
      </c>
      <c r="K24" s="84"/>
      <c r="L24" s="71"/>
      <c r="M24" s="72"/>
      <c r="N24" s="62"/>
      <c r="O24" s="62"/>
      <c r="P24" s="62"/>
      <c r="Q24" s="54">
        <f>MIN($B24,VLOOKUP($A24,Parámetros!$A$2:$J$122,8,FALSE)*UF)*12*I24*$X$2</f>
        <v>0</v>
      </c>
      <c r="R24" s="54">
        <f>MIN($B24,VLOOKUP($A24,Parámetros!$A$2:$J$122,8,FALSE)*UF)*12*J24*$X$2</f>
        <v>0</v>
      </c>
      <c r="S24" s="54">
        <f>MIN($B24,VLOOKUP($A24,Parámetros!$A$2:$J$122,8,FALSE)*UF)*12*I24*$X$2</f>
        <v>0</v>
      </c>
      <c r="T24" s="54">
        <f>MIN($B24,VLOOKUP($A24,Parámetros!$A$2:$J$122,8,FALSE)*UF)*12*J24*$X$2</f>
        <v>0</v>
      </c>
      <c r="U24" s="47"/>
      <c r="V24" s="62"/>
      <c r="W24" s="62"/>
      <c r="X24" s="62"/>
      <c r="Y24" s="62"/>
      <c r="Z24" s="54">
        <f t="shared" si="10"/>
        <v>0</v>
      </c>
      <c r="AA24" s="54">
        <f t="shared" si="11"/>
        <v>0</v>
      </c>
      <c r="AB24" s="54">
        <f t="shared" si="12"/>
        <v>0</v>
      </c>
      <c r="AC24" s="54">
        <f t="shared" si="13"/>
        <v>0</v>
      </c>
      <c r="AI24" s="52">
        <f t="shared" si="6"/>
        <v>0</v>
      </c>
      <c r="AJ24" s="52">
        <f t="shared" si="7"/>
        <v>0</v>
      </c>
      <c r="AK24" s="52">
        <f t="shared" si="8"/>
        <v>0</v>
      </c>
      <c r="AL24" s="52">
        <f t="shared" si="9"/>
        <v>0</v>
      </c>
      <c r="AM24" s="39"/>
      <c r="AN24" s="30"/>
      <c r="AO24" s="30"/>
      <c r="AP24" s="30"/>
    </row>
    <row r="25" spans="1:42" x14ac:dyDescent="0.25">
      <c r="A25" s="30">
        <v>1990</v>
      </c>
      <c r="B25" s="33">
        <f>w_uf*UF*Parámetros!C12</f>
        <v>391749.31518672069</v>
      </c>
      <c r="C25" s="30">
        <f t="shared" si="1"/>
        <v>11</v>
      </c>
      <c r="D25" s="30">
        <f>((A25=Inputs!$C$12)*(Inputs!$D$12) + (A25=Inputs!$C$13)*(Inputs!$D$13) + (A25=Inputs!$C$14)*(Inputs!$D$14)) *(A25 &gt;= a_afil)*(A25&gt;=2024)</f>
        <v>0</v>
      </c>
      <c r="E25" s="30">
        <v>0</v>
      </c>
      <c r="F25" s="30">
        <f t="shared" si="2"/>
        <v>0</v>
      </c>
      <c r="G25" s="30">
        <f t="shared" si="3"/>
        <v>0</v>
      </c>
      <c r="H25" s="30">
        <v>0.75231087207794189</v>
      </c>
      <c r="I25" s="37">
        <f t="shared" si="4"/>
        <v>0</v>
      </c>
      <c r="J25" s="37">
        <f t="shared" si="5"/>
        <v>0</v>
      </c>
      <c r="K25" s="84"/>
      <c r="L25" s="71"/>
      <c r="M25" s="72"/>
      <c r="N25" s="62"/>
      <c r="O25" s="62"/>
      <c r="P25" s="62"/>
      <c r="Q25" s="54">
        <f>MIN($B25,VLOOKUP($A25,Parámetros!$A$2:$J$122,8,FALSE)*UF)*12*I25*$X$2</f>
        <v>0</v>
      </c>
      <c r="R25" s="54">
        <f>MIN($B25,VLOOKUP($A25,Parámetros!$A$2:$J$122,8,FALSE)*UF)*12*J25*$X$2</f>
        <v>0</v>
      </c>
      <c r="S25" s="54">
        <f>MIN($B25,VLOOKUP($A25,Parámetros!$A$2:$J$122,8,FALSE)*UF)*12*I25*$X$2</f>
        <v>0</v>
      </c>
      <c r="T25" s="54">
        <f>MIN($B25,VLOOKUP($A25,Parámetros!$A$2:$J$122,8,FALSE)*UF)*12*J25*$X$2</f>
        <v>0</v>
      </c>
      <c r="U25" s="47"/>
      <c r="V25" s="62"/>
      <c r="W25" s="62"/>
      <c r="X25" s="62"/>
      <c r="Y25" s="62"/>
      <c r="Z25" s="54">
        <f t="shared" si="10"/>
        <v>0</v>
      </c>
      <c r="AA25" s="54">
        <f t="shared" si="11"/>
        <v>0</v>
      </c>
      <c r="AB25" s="54">
        <f t="shared" si="12"/>
        <v>0</v>
      </c>
      <c r="AC25" s="54">
        <f t="shared" si="13"/>
        <v>0</v>
      </c>
      <c r="AI25" s="52">
        <f t="shared" si="6"/>
        <v>0</v>
      </c>
      <c r="AJ25" s="52">
        <f t="shared" si="7"/>
        <v>0</v>
      </c>
      <c r="AK25" s="52">
        <f t="shared" si="8"/>
        <v>0</v>
      </c>
      <c r="AL25" s="52">
        <f t="shared" si="9"/>
        <v>0</v>
      </c>
      <c r="AM25" s="39"/>
      <c r="AN25" s="30"/>
      <c r="AO25" s="30"/>
      <c r="AP25" s="30"/>
    </row>
    <row r="26" spans="1:42" x14ac:dyDescent="0.25">
      <c r="A26" s="30">
        <v>1991</v>
      </c>
      <c r="B26" s="33">
        <f>w_uf*UF*Parámetros!C13</f>
        <v>401198.74425541307</v>
      </c>
      <c r="C26" s="30">
        <f t="shared" si="1"/>
        <v>12</v>
      </c>
      <c r="D26" s="30">
        <f>((A26=Inputs!$C$12)*(Inputs!$D$12) + (A26=Inputs!$C$13)*(Inputs!$D$13) + (A26=Inputs!$C$14)*(Inputs!$D$14)) *(A26 &gt;= a_afil)*(A26&gt;=2024)</f>
        <v>0</v>
      </c>
      <c r="E26" s="30">
        <v>0</v>
      </c>
      <c r="F26" s="30">
        <f t="shared" si="2"/>
        <v>0</v>
      </c>
      <c r="G26" s="30">
        <f t="shared" si="3"/>
        <v>0</v>
      </c>
      <c r="H26" s="30">
        <v>0.39893227815628052</v>
      </c>
      <c r="I26" s="37">
        <f t="shared" si="4"/>
        <v>0</v>
      </c>
      <c r="J26" s="37">
        <f t="shared" si="5"/>
        <v>0</v>
      </c>
      <c r="K26" s="84"/>
      <c r="L26" s="71"/>
      <c r="M26" s="72"/>
      <c r="N26" s="62"/>
      <c r="O26" s="62"/>
      <c r="P26" s="62"/>
      <c r="Q26" s="54">
        <f>MIN($B26,VLOOKUP($A26,Parámetros!$A$2:$J$122,8,FALSE)*UF)*12*I26*$X$2</f>
        <v>0</v>
      </c>
      <c r="R26" s="54">
        <f>MIN($B26,VLOOKUP($A26,Parámetros!$A$2:$J$122,8,FALSE)*UF)*12*J26*$X$2</f>
        <v>0</v>
      </c>
      <c r="S26" s="54">
        <f>MIN($B26,VLOOKUP($A26,Parámetros!$A$2:$J$122,8,FALSE)*UF)*12*I26*$X$2</f>
        <v>0</v>
      </c>
      <c r="T26" s="54">
        <f>MIN($B26,VLOOKUP($A26,Parámetros!$A$2:$J$122,8,FALSE)*UF)*12*J26*$X$2</f>
        <v>0</v>
      </c>
      <c r="U26" s="47"/>
      <c r="V26" s="62"/>
      <c r="W26" s="62"/>
      <c r="X26" s="62"/>
      <c r="Y26" s="62"/>
      <c r="Z26" s="54">
        <f t="shared" si="10"/>
        <v>0</v>
      </c>
      <c r="AA26" s="54">
        <f t="shared" si="11"/>
        <v>0</v>
      </c>
      <c r="AB26" s="54">
        <f t="shared" si="12"/>
        <v>0</v>
      </c>
      <c r="AC26" s="54">
        <f t="shared" si="13"/>
        <v>0</v>
      </c>
      <c r="AI26" s="52">
        <f t="shared" si="6"/>
        <v>0</v>
      </c>
      <c r="AJ26" s="52">
        <f t="shared" si="7"/>
        <v>0</v>
      </c>
      <c r="AK26" s="52">
        <f t="shared" si="8"/>
        <v>0</v>
      </c>
      <c r="AL26" s="52">
        <f t="shared" si="9"/>
        <v>0</v>
      </c>
      <c r="AM26" s="39"/>
      <c r="AN26" s="30"/>
      <c r="AO26" s="30"/>
      <c r="AP26" s="30"/>
    </row>
    <row r="27" spans="1:42" x14ac:dyDescent="0.25">
      <c r="A27" s="30">
        <v>1992</v>
      </c>
      <c r="B27" s="33">
        <f>w_uf*UF*Parámetros!C14</f>
        <v>418002.87828180124</v>
      </c>
      <c r="C27" s="30">
        <f t="shared" si="1"/>
        <v>13</v>
      </c>
      <c r="D27" s="30">
        <f>((A27=Inputs!$C$12)*(Inputs!$D$12) + (A27=Inputs!$C$13)*(Inputs!$D$13) + (A27=Inputs!$C$14)*(Inputs!$D$14)) *(A27 &gt;= a_afil)*(A27&gt;=2024)</f>
        <v>0</v>
      </c>
      <c r="E27" s="30">
        <v>0</v>
      </c>
      <c r="F27" s="30">
        <f t="shared" si="2"/>
        <v>0</v>
      </c>
      <c r="G27" s="30">
        <f t="shared" si="3"/>
        <v>0</v>
      </c>
      <c r="H27" s="30">
        <v>0.90309882164001465</v>
      </c>
      <c r="I27" s="37">
        <f t="shared" si="4"/>
        <v>0</v>
      </c>
      <c r="J27" s="37">
        <f t="shared" si="5"/>
        <v>0</v>
      </c>
      <c r="K27" s="84"/>
      <c r="L27" s="71"/>
      <c r="M27" s="72"/>
      <c r="N27" s="62"/>
      <c r="O27" s="62"/>
      <c r="P27" s="62"/>
      <c r="Q27" s="54">
        <f>MIN($B27,VLOOKUP($A27,Parámetros!$A$2:$J$122,8,FALSE)*UF)*12*I27*$X$2</f>
        <v>0</v>
      </c>
      <c r="R27" s="54">
        <f>MIN($B27,VLOOKUP($A27,Parámetros!$A$2:$J$122,8,FALSE)*UF)*12*J27*$X$2</f>
        <v>0</v>
      </c>
      <c r="S27" s="54">
        <f>MIN($B27,VLOOKUP($A27,Parámetros!$A$2:$J$122,8,FALSE)*UF)*12*I27*$X$2</f>
        <v>0</v>
      </c>
      <c r="T27" s="54">
        <f>MIN($B27,VLOOKUP($A27,Parámetros!$A$2:$J$122,8,FALSE)*UF)*12*J27*$X$2</f>
        <v>0</v>
      </c>
      <c r="U27" s="47"/>
      <c r="V27" s="62"/>
      <c r="W27" s="62"/>
      <c r="X27" s="62"/>
      <c r="Y27" s="62"/>
      <c r="Z27" s="54">
        <f t="shared" si="10"/>
        <v>0</v>
      </c>
      <c r="AA27" s="54">
        <f t="shared" si="11"/>
        <v>0</v>
      </c>
      <c r="AB27" s="54">
        <f t="shared" si="12"/>
        <v>0</v>
      </c>
      <c r="AC27" s="54">
        <f t="shared" si="13"/>
        <v>0</v>
      </c>
      <c r="AI27" s="52">
        <f t="shared" si="6"/>
        <v>0</v>
      </c>
      <c r="AJ27" s="52">
        <f t="shared" si="7"/>
        <v>0</v>
      </c>
      <c r="AK27" s="52">
        <f t="shared" si="8"/>
        <v>0</v>
      </c>
      <c r="AL27" s="52">
        <f t="shared" si="9"/>
        <v>0</v>
      </c>
      <c r="AM27" s="39"/>
      <c r="AN27" s="30"/>
      <c r="AO27" s="30"/>
      <c r="AP27" s="30"/>
    </row>
    <row r="28" spans="1:42" x14ac:dyDescent="0.25">
      <c r="A28" s="30">
        <v>1993</v>
      </c>
      <c r="B28" s="33">
        <f>w_uf*UF*Parámetros!C15</f>
        <v>435209.71654134156</v>
      </c>
      <c r="C28" s="30">
        <f t="shared" si="1"/>
        <v>14</v>
      </c>
      <c r="D28" s="30">
        <f>((A28=Inputs!$C$12)*(Inputs!$D$12) + (A28=Inputs!$C$13)*(Inputs!$D$13) + (A28=Inputs!$C$14)*(Inputs!$D$14)) *(A28 &gt;= a_afil)*(A28&gt;=2024)</f>
        <v>0</v>
      </c>
      <c r="E28" s="30">
        <v>0</v>
      </c>
      <c r="F28" s="30">
        <f t="shared" si="2"/>
        <v>0</v>
      </c>
      <c r="G28" s="30">
        <f t="shared" si="3"/>
        <v>0</v>
      </c>
      <c r="H28" s="30">
        <v>0.74600690603256226</v>
      </c>
      <c r="I28" s="37">
        <f t="shared" si="4"/>
        <v>0</v>
      </c>
      <c r="J28" s="37">
        <f t="shared" si="5"/>
        <v>0</v>
      </c>
      <c r="K28" s="84"/>
      <c r="L28" s="71"/>
      <c r="M28" s="72"/>
      <c r="N28" s="62"/>
      <c r="O28" s="62"/>
      <c r="P28" s="62"/>
      <c r="Q28" s="54">
        <f>MIN($B28,VLOOKUP($A28,Parámetros!$A$2:$J$122,8,FALSE)*UF)*12*I28*$X$2</f>
        <v>0</v>
      </c>
      <c r="R28" s="54">
        <f>MIN($B28,VLOOKUP($A28,Parámetros!$A$2:$J$122,8,FALSE)*UF)*12*J28*$X$2</f>
        <v>0</v>
      </c>
      <c r="S28" s="54">
        <f>MIN($B28,VLOOKUP($A28,Parámetros!$A$2:$J$122,8,FALSE)*UF)*12*I28*$X$2</f>
        <v>0</v>
      </c>
      <c r="T28" s="54">
        <f>MIN($B28,VLOOKUP($A28,Parámetros!$A$2:$J$122,8,FALSE)*UF)*12*J28*$X$2</f>
        <v>0</v>
      </c>
      <c r="U28" s="47"/>
      <c r="V28" s="62"/>
      <c r="W28" s="62"/>
      <c r="X28" s="62"/>
      <c r="Y28" s="62"/>
      <c r="Z28" s="54">
        <f t="shared" si="10"/>
        <v>0</v>
      </c>
      <c r="AA28" s="54">
        <f t="shared" si="11"/>
        <v>0</v>
      </c>
      <c r="AB28" s="54">
        <f t="shared" si="12"/>
        <v>0</v>
      </c>
      <c r="AC28" s="54">
        <f t="shared" si="13"/>
        <v>0</v>
      </c>
      <c r="AI28" s="52">
        <f t="shared" si="6"/>
        <v>0</v>
      </c>
      <c r="AJ28" s="52">
        <f t="shared" si="7"/>
        <v>0</v>
      </c>
      <c r="AK28" s="52">
        <f t="shared" si="8"/>
        <v>0</v>
      </c>
      <c r="AL28" s="52">
        <f t="shared" si="9"/>
        <v>0</v>
      </c>
      <c r="AM28" s="39"/>
      <c r="AN28" s="30"/>
      <c r="AO28" s="30"/>
      <c r="AP28" s="30"/>
    </row>
    <row r="29" spans="1:42" x14ac:dyDescent="0.25">
      <c r="A29" s="30">
        <v>1994</v>
      </c>
      <c r="B29" s="33">
        <f>w_uf*UF*Parámetros!C16</f>
        <v>450251.23358828295</v>
      </c>
      <c r="C29" s="30">
        <f t="shared" si="1"/>
        <v>15</v>
      </c>
      <c r="D29" s="30">
        <f>((A29=Inputs!$C$12)*(Inputs!$D$12) + (A29=Inputs!$C$13)*(Inputs!$D$13) + (A29=Inputs!$C$14)*(Inputs!$D$14)) *(A29 &gt;= a_afil)*(A29&gt;=2024)</f>
        <v>0</v>
      </c>
      <c r="E29" s="30">
        <v>0</v>
      </c>
      <c r="F29" s="30">
        <f t="shared" si="2"/>
        <v>0</v>
      </c>
      <c r="G29" s="30">
        <f t="shared" si="3"/>
        <v>0</v>
      </c>
      <c r="H29" s="30">
        <v>8.8559508323669434E-2</v>
      </c>
      <c r="I29" s="37">
        <f t="shared" si="4"/>
        <v>0</v>
      </c>
      <c r="J29" s="37">
        <f t="shared" si="5"/>
        <v>0</v>
      </c>
      <c r="K29" s="84"/>
      <c r="L29" s="71"/>
      <c r="M29" s="72"/>
      <c r="N29" s="62"/>
      <c r="O29" s="62"/>
      <c r="P29" s="62"/>
      <c r="Q29" s="54">
        <f>MIN($B29,VLOOKUP($A29,Parámetros!$A$2:$J$122,8,FALSE)*UF)*12*I29*$X$2</f>
        <v>0</v>
      </c>
      <c r="R29" s="54">
        <f>MIN($B29,VLOOKUP($A29,Parámetros!$A$2:$J$122,8,FALSE)*UF)*12*J29*$X$2</f>
        <v>0</v>
      </c>
      <c r="S29" s="54">
        <f>MIN($B29,VLOOKUP($A29,Parámetros!$A$2:$J$122,8,FALSE)*UF)*12*I29*$X$2</f>
        <v>0</v>
      </c>
      <c r="T29" s="54">
        <f>MIN($B29,VLOOKUP($A29,Parámetros!$A$2:$J$122,8,FALSE)*UF)*12*J29*$X$2</f>
        <v>0</v>
      </c>
      <c r="U29" s="47"/>
      <c r="V29" s="62"/>
      <c r="W29" s="62"/>
      <c r="X29" s="62"/>
      <c r="Y29" s="62"/>
      <c r="Z29" s="54">
        <f t="shared" si="10"/>
        <v>0</v>
      </c>
      <c r="AA29" s="54">
        <f t="shared" si="11"/>
        <v>0</v>
      </c>
      <c r="AB29" s="54">
        <f t="shared" si="12"/>
        <v>0</v>
      </c>
      <c r="AC29" s="54">
        <f t="shared" si="13"/>
        <v>0</v>
      </c>
      <c r="AI29" s="52">
        <f t="shared" si="6"/>
        <v>0</v>
      </c>
      <c r="AJ29" s="52">
        <f t="shared" si="7"/>
        <v>0</v>
      </c>
      <c r="AK29" s="52">
        <f t="shared" si="8"/>
        <v>0</v>
      </c>
      <c r="AL29" s="52">
        <f t="shared" si="9"/>
        <v>0</v>
      </c>
      <c r="AM29" s="39"/>
      <c r="AN29" s="30"/>
      <c r="AO29" s="30"/>
      <c r="AP29" s="30"/>
    </row>
    <row r="30" spans="1:42" x14ac:dyDescent="0.25">
      <c r="A30" s="30">
        <v>1995</v>
      </c>
      <c r="B30" s="33">
        <f>w_uf*UF*Parámetros!C17</f>
        <v>478018.08507792832</v>
      </c>
      <c r="C30" s="30">
        <f t="shared" si="1"/>
        <v>16</v>
      </c>
      <c r="D30" s="30">
        <f>((A30=Inputs!$C$12)*(Inputs!$D$12) + (A30=Inputs!$C$13)*(Inputs!$D$13) + (A30=Inputs!$C$14)*(Inputs!$D$14)) *(A30 &gt;= a_afil)*(A30&gt;=2024)</f>
        <v>0</v>
      </c>
      <c r="E30" s="30">
        <v>0</v>
      </c>
      <c r="F30" s="30">
        <f t="shared" si="2"/>
        <v>0</v>
      </c>
      <c r="G30" s="30">
        <f t="shared" si="3"/>
        <v>0</v>
      </c>
      <c r="H30" s="30">
        <v>0.6345711350440979</v>
      </c>
      <c r="I30" s="37">
        <f t="shared" si="4"/>
        <v>0</v>
      </c>
      <c r="J30" s="37">
        <f t="shared" si="5"/>
        <v>0</v>
      </c>
      <c r="K30" s="84"/>
      <c r="L30" s="71"/>
      <c r="M30" s="72"/>
      <c r="N30" s="62"/>
      <c r="O30" s="62"/>
      <c r="P30" s="62"/>
      <c r="Q30" s="54">
        <f>MIN($B30,VLOOKUP($A30,Parámetros!$A$2:$J$122,8,FALSE)*UF)*12*I30*$X$2</f>
        <v>0</v>
      </c>
      <c r="R30" s="54">
        <f>MIN($B30,VLOOKUP($A30,Parámetros!$A$2:$J$122,8,FALSE)*UF)*12*J30*$X$2</f>
        <v>0</v>
      </c>
      <c r="S30" s="54">
        <f>MIN($B30,VLOOKUP($A30,Parámetros!$A$2:$J$122,8,FALSE)*UF)*12*I30*$X$2</f>
        <v>0</v>
      </c>
      <c r="T30" s="54">
        <f>MIN($B30,VLOOKUP($A30,Parámetros!$A$2:$J$122,8,FALSE)*UF)*12*J30*$X$2</f>
        <v>0</v>
      </c>
      <c r="U30" s="47"/>
      <c r="V30" s="62"/>
      <c r="W30" s="62"/>
      <c r="X30" s="62"/>
      <c r="Y30" s="62"/>
      <c r="Z30" s="54">
        <f t="shared" si="10"/>
        <v>0</v>
      </c>
      <c r="AA30" s="54">
        <f t="shared" si="11"/>
        <v>0</v>
      </c>
      <c r="AB30" s="54">
        <f t="shared" si="12"/>
        <v>0</v>
      </c>
      <c r="AC30" s="54">
        <f t="shared" si="13"/>
        <v>0</v>
      </c>
      <c r="AI30" s="52">
        <f t="shared" si="6"/>
        <v>0</v>
      </c>
      <c r="AJ30" s="52">
        <f t="shared" si="7"/>
        <v>0</v>
      </c>
      <c r="AK30" s="52">
        <f t="shared" si="8"/>
        <v>0</v>
      </c>
      <c r="AL30" s="52">
        <f t="shared" si="9"/>
        <v>0</v>
      </c>
      <c r="AM30" s="39"/>
      <c r="AN30" s="30"/>
      <c r="AO30" s="30"/>
      <c r="AP30" s="30"/>
    </row>
    <row r="31" spans="1:42" x14ac:dyDescent="0.25">
      <c r="A31" s="30">
        <v>1996</v>
      </c>
      <c r="B31" s="33">
        <f>w_uf*UF*Parámetros!C18</f>
        <v>501097.41534671315</v>
      </c>
      <c r="C31" s="30">
        <f t="shared" si="1"/>
        <v>17</v>
      </c>
      <c r="D31" s="30">
        <f>((A31=Inputs!$C$12)*(Inputs!$D$12) + (A31=Inputs!$C$13)*(Inputs!$D$13) + (A31=Inputs!$C$14)*(Inputs!$D$14)) *(A31 &gt;= a_afil)*(A31&gt;=2024)</f>
        <v>0</v>
      </c>
      <c r="E31" s="30">
        <v>0</v>
      </c>
      <c r="F31" s="30">
        <f t="shared" si="2"/>
        <v>0</v>
      </c>
      <c r="G31" s="30">
        <f t="shared" si="3"/>
        <v>0</v>
      </c>
      <c r="H31" s="30">
        <v>0.7130279541015625</v>
      </c>
      <c r="I31" s="37">
        <f t="shared" si="4"/>
        <v>0</v>
      </c>
      <c r="J31" s="37">
        <f t="shared" si="5"/>
        <v>0</v>
      </c>
      <c r="K31" s="84"/>
      <c r="L31" s="71"/>
      <c r="M31" s="72"/>
      <c r="N31" s="62"/>
      <c r="O31" s="62"/>
      <c r="P31" s="62"/>
      <c r="Q31" s="54">
        <f>MIN($B31,VLOOKUP($A31,Parámetros!$A$2:$J$122,8,FALSE)*UF)*12*I31*$X$2</f>
        <v>0</v>
      </c>
      <c r="R31" s="54">
        <f>MIN($B31,VLOOKUP($A31,Parámetros!$A$2:$J$122,8,FALSE)*UF)*12*J31*$X$2</f>
        <v>0</v>
      </c>
      <c r="S31" s="54">
        <f>MIN($B31,VLOOKUP($A31,Parámetros!$A$2:$J$122,8,FALSE)*UF)*12*I31*$X$2</f>
        <v>0</v>
      </c>
      <c r="T31" s="54">
        <f>MIN($B31,VLOOKUP($A31,Parámetros!$A$2:$J$122,8,FALSE)*UF)*12*J31*$X$2</f>
        <v>0</v>
      </c>
      <c r="U31" s="47"/>
      <c r="V31" s="62"/>
      <c r="W31" s="62"/>
      <c r="X31" s="62"/>
      <c r="Y31" s="62"/>
      <c r="Z31" s="54">
        <f t="shared" si="10"/>
        <v>0</v>
      </c>
      <c r="AA31" s="54">
        <f t="shared" si="11"/>
        <v>0</v>
      </c>
      <c r="AB31" s="54">
        <f t="shared" si="12"/>
        <v>0</v>
      </c>
      <c r="AC31" s="54">
        <f t="shared" si="13"/>
        <v>0</v>
      </c>
      <c r="AI31" s="52">
        <f t="shared" si="6"/>
        <v>0</v>
      </c>
      <c r="AJ31" s="52">
        <f t="shared" si="7"/>
        <v>0</v>
      </c>
      <c r="AK31" s="52">
        <f t="shared" si="8"/>
        <v>0</v>
      </c>
      <c r="AL31" s="52">
        <f t="shared" si="9"/>
        <v>0</v>
      </c>
      <c r="AM31" s="39"/>
      <c r="AN31" s="30"/>
      <c r="AO31" s="30"/>
      <c r="AP31" s="30"/>
    </row>
    <row r="32" spans="1:42" x14ac:dyDescent="0.25">
      <c r="A32" s="30">
        <v>1997</v>
      </c>
      <c r="B32" s="33">
        <f>w_uf*UF*Parámetros!C19</f>
        <v>521793.55390296044</v>
      </c>
      <c r="C32" s="30">
        <f t="shared" si="1"/>
        <v>18</v>
      </c>
      <c r="D32" s="30">
        <f>((A32=Inputs!$C$12)*(Inputs!$D$12) + (A32=Inputs!$C$13)*(Inputs!$D$13) + (A32=Inputs!$C$14)*(Inputs!$D$14)) *(A32 &gt;= a_afil)*(A32&gt;=2024)</f>
        <v>0</v>
      </c>
      <c r="E32" s="30">
        <v>0</v>
      </c>
      <c r="F32" s="30">
        <f t="shared" si="2"/>
        <v>0</v>
      </c>
      <c r="G32" s="30">
        <f t="shared" si="3"/>
        <v>0</v>
      </c>
      <c r="H32" s="30">
        <v>1.5682399272918701E-2</v>
      </c>
      <c r="I32" s="37">
        <f t="shared" si="4"/>
        <v>0</v>
      </c>
      <c r="J32" s="37">
        <f t="shared" si="5"/>
        <v>0</v>
      </c>
      <c r="K32" s="84"/>
      <c r="L32" s="71"/>
      <c r="M32" s="72"/>
      <c r="N32" s="62"/>
      <c r="O32" s="62"/>
      <c r="P32" s="62"/>
      <c r="Q32" s="54">
        <f>MIN($B32,VLOOKUP($A32,Parámetros!$A$2:$J$122,8,FALSE)*UF)*12*I32*$X$2</f>
        <v>0</v>
      </c>
      <c r="R32" s="54">
        <f>MIN($B32,VLOOKUP($A32,Parámetros!$A$2:$J$122,8,FALSE)*UF)*12*J32*$X$2</f>
        <v>0</v>
      </c>
      <c r="S32" s="54">
        <f>MIN($B32,VLOOKUP($A32,Parámetros!$A$2:$J$122,8,FALSE)*UF)*12*I32*$X$2</f>
        <v>0</v>
      </c>
      <c r="T32" s="54">
        <f>MIN($B32,VLOOKUP($A32,Parámetros!$A$2:$J$122,8,FALSE)*UF)*12*J32*$X$2</f>
        <v>0</v>
      </c>
      <c r="U32" s="47"/>
      <c r="V32" s="62"/>
      <c r="W32" s="62"/>
      <c r="X32" s="62"/>
      <c r="Y32" s="62"/>
      <c r="Z32" s="54">
        <f t="shared" si="10"/>
        <v>0</v>
      </c>
      <c r="AA32" s="54">
        <f t="shared" si="11"/>
        <v>0</v>
      </c>
      <c r="AB32" s="54">
        <f t="shared" si="12"/>
        <v>0</v>
      </c>
      <c r="AC32" s="54">
        <f t="shared" si="13"/>
        <v>0</v>
      </c>
      <c r="AI32" s="52">
        <f t="shared" si="6"/>
        <v>0</v>
      </c>
      <c r="AJ32" s="52">
        <f t="shared" si="7"/>
        <v>0</v>
      </c>
      <c r="AK32" s="52">
        <f t="shared" si="8"/>
        <v>0</v>
      </c>
      <c r="AL32" s="52">
        <f t="shared" si="9"/>
        <v>0</v>
      </c>
      <c r="AM32" s="39"/>
      <c r="AN32" s="30"/>
      <c r="AO32" s="30"/>
      <c r="AP32" s="30"/>
    </row>
    <row r="33" spans="1:42" x14ac:dyDescent="0.25">
      <c r="A33" s="30">
        <v>1998</v>
      </c>
      <c r="B33" s="33">
        <f>w_uf*UF*Parámetros!C20</f>
        <v>534336.66817947384</v>
      </c>
      <c r="C33" s="30">
        <f t="shared" si="1"/>
        <v>19</v>
      </c>
      <c r="D33" s="30">
        <f>((A33=Inputs!$C$12)*(Inputs!$D$12) + (A33=Inputs!$C$13)*(Inputs!$D$13) + (A33=Inputs!$C$14)*(Inputs!$D$14)) *(A33 &gt;= a_afil)*(A33&gt;=2024)</f>
        <v>0</v>
      </c>
      <c r="E33" s="30">
        <v>0</v>
      </c>
      <c r="F33" s="30">
        <f t="shared" si="2"/>
        <v>0</v>
      </c>
      <c r="G33" s="30">
        <f t="shared" si="3"/>
        <v>0</v>
      </c>
      <c r="H33" s="30">
        <v>0.4311443567276001</v>
      </c>
      <c r="I33" s="37">
        <f t="shared" si="4"/>
        <v>0</v>
      </c>
      <c r="J33" s="37">
        <f t="shared" si="5"/>
        <v>0</v>
      </c>
      <c r="K33" s="84"/>
      <c r="L33" s="71"/>
      <c r="M33" s="72"/>
      <c r="N33" s="62"/>
      <c r="O33" s="62"/>
      <c r="P33" s="62"/>
      <c r="Q33" s="54">
        <f>MIN($B33,VLOOKUP($A33,Parámetros!$A$2:$J$122,8,FALSE)*UF)*12*I33*$X$2</f>
        <v>0</v>
      </c>
      <c r="R33" s="54">
        <f>MIN($B33,VLOOKUP($A33,Parámetros!$A$2:$J$122,8,FALSE)*UF)*12*J33*$X$2</f>
        <v>0</v>
      </c>
      <c r="S33" s="54">
        <f>MIN($B33,VLOOKUP($A33,Parámetros!$A$2:$J$122,8,FALSE)*UF)*12*I33*$X$2</f>
        <v>0</v>
      </c>
      <c r="T33" s="54">
        <f>MIN($B33,VLOOKUP($A33,Parámetros!$A$2:$J$122,8,FALSE)*UF)*12*J33*$X$2</f>
        <v>0</v>
      </c>
      <c r="U33" s="47"/>
      <c r="V33" s="62"/>
      <c r="W33" s="62"/>
      <c r="X33" s="62"/>
      <c r="Y33" s="62"/>
      <c r="Z33" s="54">
        <f t="shared" si="10"/>
        <v>0</v>
      </c>
      <c r="AA33" s="54">
        <f t="shared" si="11"/>
        <v>0</v>
      </c>
      <c r="AB33" s="54">
        <f t="shared" si="12"/>
        <v>0</v>
      </c>
      <c r="AC33" s="54">
        <f t="shared" si="13"/>
        <v>0</v>
      </c>
      <c r="AI33" s="52">
        <f t="shared" si="6"/>
        <v>0</v>
      </c>
      <c r="AJ33" s="52">
        <f t="shared" si="7"/>
        <v>0</v>
      </c>
      <c r="AK33" s="52">
        <f t="shared" si="8"/>
        <v>0</v>
      </c>
      <c r="AL33" s="52">
        <f t="shared" si="9"/>
        <v>0</v>
      </c>
      <c r="AM33" s="39"/>
      <c r="AN33" s="30"/>
      <c r="AO33" s="30"/>
      <c r="AP33" s="30"/>
    </row>
    <row r="34" spans="1:42" x14ac:dyDescent="0.25">
      <c r="A34" s="30">
        <v>1999</v>
      </c>
      <c r="B34" s="33">
        <f>w_uf*UF*Parámetros!C21</f>
        <v>548510.38731193403</v>
      </c>
      <c r="C34" s="30">
        <f t="shared" si="1"/>
        <v>20</v>
      </c>
      <c r="D34" s="30">
        <f>((A34=Inputs!$C$12)*(Inputs!$D$12) + (A34=Inputs!$C$13)*(Inputs!$D$13) + (A34=Inputs!$C$14)*(Inputs!$D$14)) *(A34 &gt;= a_afil)*(A34&gt;=2024)</f>
        <v>0</v>
      </c>
      <c r="E34" s="30">
        <v>0</v>
      </c>
      <c r="F34" s="30">
        <f t="shared" si="2"/>
        <v>0</v>
      </c>
      <c r="G34" s="30">
        <f t="shared" si="3"/>
        <v>0</v>
      </c>
      <c r="H34" s="30">
        <v>0.40198260545730591</v>
      </c>
      <c r="I34" s="37">
        <f t="shared" si="4"/>
        <v>0</v>
      </c>
      <c r="J34" s="37">
        <f t="shared" si="5"/>
        <v>0</v>
      </c>
      <c r="K34" s="84"/>
      <c r="L34" s="71"/>
      <c r="M34" s="72"/>
      <c r="N34" s="62"/>
      <c r="O34" s="62"/>
      <c r="P34" s="62"/>
      <c r="Q34" s="54">
        <f>MIN($B34,VLOOKUP($A34,Parámetros!$A$2:$J$122,8,FALSE)*UF)*12*I34*$X$2</f>
        <v>0</v>
      </c>
      <c r="R34" s="54">
        <f>MIN($B34,VLOOKUP($A34,Parámetros!$A$2:$J$122,8,FALSE)*UF)*12*J34*$X$2</f>
        <v>0</v>
      </c>
      <c r="S34" s="54">
        <f>MIN($B34,VLOOKUP($A34,Parámetros!$A$2:$J$122,8,FALSE)*UF)*12*I34*$X$2</f>
        <v>0</v>
      </c>
      <c r="T34" s="54">
        <f>MIN($B34,VLOOKUP($A34,Parámetros!$A$2:$J$122,8,FALSE)*UF)*12*J34*$X$2</f>
        <v>0</v>
      </c>
      <c r="U34" s="47"/>
      <c r="V34" s="62"/>
      <c r="W34" s="62"/>
      <c r="X34" s="62"/>
      <c r="Y34" s="62"/>
      <c r="Z34" s="54">
        <f t="shared" si="10"/>
        <v>0</v>
      </c>
      <c r="AA34" s="54">
        <f t="shared" si="11"/>
        <v>0</v>
      </c>
      <c r="AB34" s="54">
        <f t="shared" si="12"/>
        <v>0</v>
      </c>
      <c r="AC34" s="54">
        <f t="shared" si="13"/>
        <v>0</v>
      </c>
      <c r="AI34" s="52">
        <f t="shared" si="6"/>
        <v>0</v>
      </c>
      <c r="AJ34" s="52">
        <f t="shared" si="7"/>
        <v>0</v>
      </c>
      <c r="AK34" s="52">
        <f t="shared" si="8"/>
        <v>0</v>
      </c>
      <c r="AL34" s="52">
        <f t="shared" si="9"/>
        <v>0</v>
      </c>
      <c r="AM34" s="39"/>
      <c r="AN34" s="30"/>
      <c r="AO34" s="30"/>
      <c r="AP34" s="30"/>
    </row>
    <row r="35" spans="1:42" x14ac:dyDescent="0.25">
      <c r="A35" s="30">
        <v>2000</v>
      </c>
      <c r="B35" s="33">
        <f>w_uf*UF*Parámetros!C22</f>
        <v>561868.80401642085</v>
      </c>
      <c r="C35" s="30">
        <f t="shared" si="1"/>
        <v>21</v>
      </c>
      <c r="D35" s="30">
        <f>((A35=Inputs!$C$12)*(Inputs!$D$12) + (A35=Inputs!$C$13)*(Inputs!$D$13) + (A35=Inputs!$C$14)*(Inputs!$D$14)) *(A35 &gt;= a_afil)*(A35&gt;=2024)</f>
        <v>0</v>
      </c>
      <c r="E35" s="30">
        <v>0</v>
      </c>
      <c r="F35" s="30">
        <f t="shared" si="2"/>
        <v>0</v>
      </c>
      <c r="G35" s="30">
        <f t="shared" si="3"/>
        <v>0</v>
      </c>
      <c r="H35" s="30">
        <v>0.27529549598693848</v>
      </c>
      <c r="I35" s="37">
        <f t="shared" si="4"/>
        <v>0</v>
      </c>
      <c r="J35" s="37">
        <f t="shared" si="5"/>
        <v>0</v>
      </c>
      <c r="K35" s="84"/>
      <c r="L35" s="71"/>
      <c r="M35" s="72"/>
      <c r="N35" s="62"/>
      <c r="O35" s="62"/>
      <c r="P35" s="62"/>
      <c r="Q35" s="54">
        <f>MIN($B35,VLOOKUP($A35,Parámetros!$A$2:$J$122,8,FALSE)*UF)*12*I35*$X$2</f>
        <v>0</v>
      </c>
      <c r="R35" s="54">
        <f>MIN($B35,VLOOKUP($A35,Parámetros!$A$2:$J$122,8,FALSE)*UF)*12*J35*$X$2</f>
        <v>0</v>
      </c>
      <c r="S35" s="54">
        <f>MIN($B35,VLOOKUP($A35,Parámetros!$A$2:$J$122,8,FALSE)*UF)*12*I35*$X$2</f>
        <v>0</v>
      </c>
      <c r="T35" s="54">
        <f>MIN($B35,VLOOKUP($A35,Parámetros!$A$2:$J$122,8,FALSE)*UF)*12*J35*$X$2</f>
        <v>0</v>
      </c>
      <c r="U35" s="47"/>
      <c r="V35" s="62"/>
      <c r="W35" s="62"/>
      <c r="X35" s="62"/>
      <c r="Y35" s="62"/>
      <c r="Z35" s="54">
        <f t="shared" si="10"/>
        <v>0</v>
      </c>
      <c r="AA35" s="54">
        <f t="shared" si="11"/>
        <v>0</v>
      </c>
      <c r="AB35" s="54">
        <f t="shared" si="12"/>
        <v>0</v>
      </c>
      <c r="AC35" s="54">
        <f t="shared" si="13"/>
        <v>0</v>
      </c>
      <c r="AI35" s="52">
        <f t="shared" si="6"/>
        <v>0</v>
      </c>
      <c r="AJ35" s="52">
        <f t="shared" si="7"/>
        <v>0</v>
      </c>
      <c r="AK35" s="52">
        <f t="shared" si="8"/>
        <v>0</v>
      </c>
      <c r="AL35" s="52">
        <f t="shared" si="9"/>
        <v>0</v>
      </c>
      <c r="AM35" s="39"/>
      <c r="AN35" s="30"/>
      <c r="AO35" s="30"/>
      <c r="AP35" s="30"/>
    </row>
    <row r="36" spans="1:42" x14ac:dyDescent="0.25">
      <c r="A36" s="30">
        <v>2001</v>
      </c>
      <c r="B36" s="33">
        <f>w_uf*UF*Parámetros!C23</f>
        <v>569645.53486785921</v>
      </c>
      <c r="C36" s="30">
        <f t="shared" si="1"/>
        <v>22</v>
      </c>
      <c r="D36" s="30">
        <f>((A36=Inputs!$C$12)*(Inputs!$D$12) + (A36=Inputs!$C$13)*(Inputs!$D$13) + (A36=Inputs!$C$14)*(Inputs!$D$14)) *(A36 &gt;= a_afil)*(A36&gt;=2024)</f>
        <v>0</v>
      </c>
      <c r="E36" s="30">
        <v>0</v>
      </c>
      <c r="F36" s="30">
        <f t="shared" si="2"/>
        <v>0</v>
      </c>
      <c r="G36" s="30">
        <f t="shared" si="3"/>
        <v>0</v>
      </c>
      <c r="H36" s="30">
        <v>0.98537391424179077</v>
      </c>
      <c r="I36" s="37">
        <f t="shared" si="4"/>
        <v>0</v>
      </c>
      <c r="J36" s="37">
        <f t="shared" si="5"/>
        <v>0</v>
      </c>
      <c r="K36" s="84"/>
      <c r="L36" s="71"/>
      <c r="M36" s="72"/>
      <c r="N36" s="62"/>
      <c r="O36" s="62"/>
      <c r="P36" s="62"/>
      <c r="Q36" s="54">
        <f>MIN($B36,VLOOKUP($A36,Parámetros!$A$2:$J$122,8,FALSE)*UF)*12*I36*$X$2</f>
        <v>0</v>
      </c>
      <c r="R36" s="54">
        <f>MIN($B36,VLOOKUP($A36,Parámetros!$A$2:$J$122,8,FALSE)*UF)*12*J36*$X$2</f>
        <v>0</v>
      </c>
      <c r="S36" s="54">
        <f>MIN($B36,VLOOKUP($A36,Parámetros!$A$2:$J$122,8,FALSE)*UF)*12*I36*$X$2</f>
        <v>0</v>
      </c>
      <c r="T36" s="54">
        <f>MIN($B36,VLOOKUP($A36,Parámetros!$A$2:$J$122,8,FALSE)*UF)*12*J36*$X$2</f>
        <v>0</v>
      </c>
      <c r="U36" s="47"/>
      <c r="V36" s="62"/>
      <c r="W36" s="62"/>
      <c r="X36" s="62"/>
      <c r="Y36" s="62"/>
      <c r="Z36" s="54">
        <f t="shared" si="10"/>
        <v>0</v>
      </c>
      <c r="AA36" s="54">
        <f t="shared" si="11"/>
        <v>0</v>
      </c>
      <c r="AB36" s="54">
        <f t="shared" si="12"/>
        <v>0</v>
      </c>
      <c r="AC36" s="54">
        <f t="shared" si="13"/>
        <v>0</v>
      </c>
      <c r="AI36" s="52">
        <f t="shared" si="6"/>
        <v>0</v>
      </c>
      <c r="AJ36" s="52">
        <f t="shared" si="7"/>
        <v>0</v>
      </c>
      <c r="AK36" s="52">
        <f t="shared" si="8"/>
        <v>0</v>
      </c>
      <c r="AL36" s="52">
        <f t="shared" si="9"/>
        <v>0</v>
      </c>
      <c r="AM36" s="39"/>
      <c r="AN36" s="30"/>
      <c r="AO36" s="30"/>
      <c r="AP36" s="30"/>
    </row>
    <row r="37" spans="1:42" x14ac:dyDescent="0.25">
      <c r="A37" s="30">
        <v>2002</v>
      </c>
      <c r="B37" s="33">
        <f>w_uf*UF*Parámetros!C24</f>
        <v>578864.72386109654</v>
      </c>
      <c r="C37" s="30">
        <f t="shared" si="1"/>
        <v>23</v>
      </c>
      <c r="D37" s="30">
        <f>((A37=Inputs!$C$12)*(Inputs!$D$12) + (A37=Inputs!$C$13)*(Inputs!$D$13) + (A37=Inputs!$C$14)*(Inputs!$D$14)) *(A37 &gt;= a_afil)*(A37&gt;=2024)</f>
        <v>0</v>
      </c>
      <c r="E37" s="30">
        <v>0</v>
      </c>
      <c r="F37" s="30">
        <f t="shared" si="2"/>
        <v>0</v>
      </c>
      <c r="G37" s="30">
        <f t="shared" si="3"/>
        <v>0</v>
      </c>
      <c r="H37" s="30">
        <v>0.80258738994598389</v>
      </c>
      <c r="I37" s="37">
        <f t="shared" si="4"/>
        <v>0</v>
      </c>
      <c r="J37" s="37">
        <f t="shared" si="5"/>
        <v>0</v>
      </c>
      <c r="K37" s="84"/>
      <c r="L37" s="71"/>
      <c r="M37" s="72"/>
      <c r="N37" s="62"/>
      <c r="O37" s="62"/>
      <c r="P37" s="62"/>
      <c r="Q37" s="54">
        <f>MIN($B37,VLOOKUP($A37,Parámetros!$A$2:$J$122,8,FALSE)*UF)*12*I37*$X$2</f>
        <v>0</v>
      </c>
      <c r="R37" s="54">
        <f>MIN($B37,VLOOKUP($A37,Parámetros!$A$2:$J$122,8,FALSE)*UF)*12*J37*$X$2</f>
        <v>0</v>
      </c>
      <c r="S37" s="54">
        <f>MIN($B37,VLOOKUP($A37,Parámetros!$A$2:$J$122,8,FALSE)*UF)*12*I37*$X$2</f>
        <v>0</v>
      </c>
      <c r="T37" s="54">
        <f>MIN($B37,VLOOKUP($A37,Parámetros!$A$2:$J$122,8,FALSE)*UF)*12*J37*$X$2</f>
        <v>0</v>
      </c>
      <c r="U37" s="47"/>
      <c r="V37" s="62"/>
      <c r="W37" s="62"/>
      <c r="X37" s="62"/>
      <c r="Y37" s="62"/>
      <c r="Z37" s="54">
        <f t="shared" si="10"/>
        <v>0</v>
      </c>
      <c r="AA37" s="54">
        <f t="shared" si="11"/>
        <v>0</v>
      </c>
      <c r="AB37" s="54">
        <f t="shared" si="12"/>
        <v>0</v>
      </c>
      <c r="AC37" s="54">
        <f t="shared" si="13"/>
        <v>0</v>
      </c>
      <c r="AI37" s="52">
        <f t="shared" si="6"/>
        <v>0</v>
      </c>
      <c r="AJ37" s="52">
        <f t="shared" si="7"/>
        <v>0</v>
      </c>
      <c r="AK37" s="52">
        <f t="shared" si="8"/>
        <v>0</v>
      </c>
      <c r="AL37" s="52">
        <f t="shared" si="9"/>
        <v>0</v>
      </c>
      <c r="AM37" s="39"/>
      <c r="AN37" s="30"/>
      <c r="AO37" s="30"/>
      <c r="AP37" s="30"/>
    </row>
    <row r="38" spans="1:42" x14ac:dyDescent="0.25">
      <c r="A38" s="30">
        <v>2003</v>
      </c>
      <c r="B38" s="33">
        <f>w_uf*UF*Parámetros!C25</f>
        <v>590592.53570963664</v>
      </c>
      <c r="C38" s="30">
        <f t="shared" si="1"/>
        <v>24</v>
      </c>
      <c r="D38" s="30">
        <f>((A38=Inputs!$C$12)*(Inputs!$D$12) + (A38=Inputs!$C$13)*(Inputs!$D$13) + (A38=Inputs!$C$14)*(Inputs!$D$14)) *(A38 &gt;= a_afil)*(A38&gt;=2024)</f>
        <v>0</v>
      </c>
      <c r="E38" s="30">
        <v>0</v>
      </c>
      <c r="F38" s="30">
        <f t="shared" si="2"/>
        <v>1</v>
      </c>
      <c r="G38" s="30">
        <f t="shared" si="3"/>
        <v>1</v>
      </c>
      <c r="H38" s="30">
        <v>0.69610077142715454</v>
      </c>
      <c r="I38" s="37">
        <f t="shared" si="4"/>
        <v>0.57999999999999996</v>
      </c>
      <c r="J38" s="37">
        <f t="shared" si="5"/>
        <v>0.57999999999999996</v>
      </c>
      <c r="K38" s="84"/>
      <c r="L38" s="71"/>
      <c r="M38" s="72"/>
      <c r="N38" s="62"/>
      <c r="O38" s="62"/>
      <c r="P38" s="62"/>
      <c r="Q38" s="54">
        <f>MIN($B38,VLOOKUP($A38,Parámetros!$A$2:$J$122,8,FALSE)*UF)*12*I38*$X$2</f>
        <v>411052.40485390706</v>
      </c>
      <c r="R38" s="54">
        <f>MIN($B38,VLOOKUP($A38,Parámetros!$A$2:$J$122,8,FALSE)*UF)*12*J38*$X$2</f>
        <v>411052.40485390706</v>
      </c>
      <c r="S38" s="54">
        <f>MIN($B38,VLOOKUP($A38,Parámetros!$A$2:$J$122,8,FALSE)*UF)*12*I38*$X$2</f>
        <v>411052.40485390706</v>
      </c>
      <c r="T38" s="54">
        <f>MIN($B38,VLOOKUP($A38,Parámetros!$A$2:$J$122,8,FALSE)*UF)*12*J38*$X$2</f>
        <v>411052.40485390706</v>
      </c>
      <c r="U38" s="47"/>
      <c r="V38" s="62"/>
      <c r="W38" s="62"/>
      <c r="X38" s="62"/>
      <c r="Y38" s="62"/>
      <c r="Z38" s="54">
        <f t="shared" si="10"/>
        <v>411052.40485390706</v>
      </c>
      <c r="AA38" s="54">
        <f t="shared" si="11"/>
        <v>411052.40485390706</v>
      </c>
      <c r="AB38" s="54">
        <f t="shared" si="12"/>
        <v>411052.40485390706</v>
      </c>
      <c r="AC38" s="54">
        <f t="shared" si="13"/>
        <v>411052.40485390706</v>
      </c>
      <c r="AI38" s="52">
        <f t="shared" si="6"/>
        <v>0</v>
      </c>
      <c r="AJ38" s="52">
        <f t="shared" si="7"/>
        <v>0</v>
      </c>
      <c r="AK38" s="52">
        <f t="shared" si="8"/>
        <v>0</v>
      </c>
      <c r="AL38" s="52">
        <f t="shared" si="9"/>
        <v>0</v>
      </c>
      <c r="AM38" s="39"/>
      <c r="AN38" s="30"/>
      <c r="AO38" s="30"/>
      <c r="AP38" s="30"/>
    </row>
    <row r="39" spans="1:42" x14ac:dyDescent="0.25">
      <c r="A39" s="30">
        <v>2004</v>
      </c>
      <c r="B39" s="33">
        <f>w_uf*UF*Parámetros!C26</f>
        <v>596048.79041992011</v>
      </c>
      <c r="C39" s="30">
        <f t="shared" si="1"/>
        <v>25</v>
      </c>
      <c r="D39" s="30">
        <f>((A39=Inputs!$C$12)*(Inputs!$D$12) + (A39=Inputs!$C$13)*(Inputs!$D$13) + (A39=Inputs!$C$14)*(Inputs!$D$14)) *(A39 &gt;= a_afil)*(A39&gt;=2024)</f>
        <v>0</v>
      </c>
      <c r="E39" s="30">
        <v>0</v>
      </c>
      <c r="F39" s="30">
        <f t="shared" si="2"/>
        <v>1</v>
      </c>
      <c r="G39" s="30">
        <f t="shared" si="3"/>
        <v>1</v>
      </c>
      <c r="H39" s="30">
        <v>0.41759920120239258</v>
      </c>
      <c r="I39" s="37">
        <f t="shared" si="4"/>
        <v>0.57999999999999996</v>
      </c>
      <c r="J39" s="37">
        <f t="shared" si="5"/>
        <v>0.57999999999999996</v>
      </c>
      <c r="K39" s="84"/>
      <c r="L39" s="71"/>
      <c r="M39" s="72"/>
      <c r="N39" s="62"/>
      <c r="O39" s="62"/>
      <c r="P39" s="62"/>
      <c r="Q39" s="54">
        <f>MIN($B39,VLOOKUP($A39,Parámetros!$A$2:$J$122,8,FALSE)*UF)*12*I39*$X$2</f>
        <v>414849.95813226444</v>
      </c>
      <c r="R39" s="54">
        <f>MIN($B39,VLOOKUP($A39,Parámetros!$A$2:$J$122,8,FALSE)*UF)*12*J39*$X$2</f>
        <v>414849.95813226444</v>
      </c>
      <c r="S39" s="54">
        <f>MIN($B39,VLOOKUP($A39,Parámetros!$A$2:$J$122,8,FALSE)*UF)*12*I39*$X$2</f>
        <v>414849.95813226444</v>
      </c>
      <c r="T39" s="54">
        <f>MIN($B39,VLOOKUP($A39,Parámetros!$A$2:$J$122,8,FALSE)*UF)*12*J39*$X$2</f>
        <v>414849.95813226444</v>
      </c>
      <c r="U39" s="47"/>
      <c r="V39" s="62"/>
      <c r="W39" s="62"/>
      <c r="X39" s="62"/>
      <c r="Y39" s="62"/>
      <c r="Z39" s="54">
        <f t="shared" si="10"/>
        <v>869268.3916982587</v>
      </c>
      <c r="AA39" s="54">
        <f t="shared" si="11"/>
        <v>869268.3916982587</v>
      </c>
      <c r="AB39" s="54">
        <f t="shared" si="12"/>
        <v>869268.3916982587</v>
      </c>
      <c r="AC39" s="54">
        <f t="shared" si="13"/>
        <v>869268.3916982587</v>
      </c>
      <c r="AI39" s="52">
        <f t="shared" si="6"/>
        <v>0</v>
      </c>
      <c r="AJ39" s="52">
        <f t="shared" si="7"/>
        <v>0</v>
      </c>
      <c r="AK39" s="52">
        <f t="shared" si="8"/>
        <v>0</v>
      </c>
      <c r="AL39" s="52">
        <f t="shared" si="9"/>
        <v>0</v>
      </c>
      <c r="AM39" s="39"/>
      <c r="AN39" s="30"/>
      <c r="AO39" s="30"/>
      <c r="AP39" s="30"/>
    </row>
    <row r="40" spans="1:42" x14ac:dyDescent="0.25">
      <c r="A40" s="30">
        <v>2005</v>
      </c>
      <c r="B40" s="33">
        <f>w_uf*UF*Parámetros!C27</f>
        <v>606898.58426910418</v>
      </c>
      <c r="C40" s="30">
        <f t="shared" si="1"/>
        <v>26</v>
      </c>
      <c r="D40" s="30">
        <f>((A40=Inputs!$C$12)*(Inputs!$D$12) + (A40=Inputs!$C$13)*(Inputs!$D$13) + (A40=Inputs!$C$14)*(Inputs!$D$14)) *(A40 &gt;= a_afil)*(A40&gt;=2024)</f>
        <v>0</v>
      </c>
      <c r="E40" s="30">
        <v>0</v>
      </c>
      <c r="F40" s="30">
        <f t="shared" si="2"/>
        <v>1</v>
      </c>
      <c r="G40" s="30">
        <f t="shared" si="3"/>
        <v>1</v>
      </c>
      <c r="H40" s="30">
        <v>0.73448818922042847</v>
      </c>
      <c r="I40" s="37">
        <f t="shared" si="4"/>
        <v>0.57999999999999996</v>
      </c>
      <c r="J40" s="37">
        <f t="shared" si="5"/>
        <v>0.57999999999999996</v>
      </c>
      <c r="K40" s="84"/>
      <c r="L40" s="71"/>
      <c r="M40" s="72"/>
      <c r="N40" s="62"/>
      <c r="O40" s="62"/>
      <c r="P40" s="62"/>
      <c r="Q40" s="54">
        <f>MIN($B40,VLOOKUP($A40,Parámetros!$A$2:$J$122,8,FALSE)*UF)*12*I40*$X$2</f>
        <v>422401.41465129651</v>
      </c>
      <c r="R40" s="54">
        <f>MIN($B40,VLOOKUP($A40,Parámetros!$A$2:$J$122,8,FALSE)*UF)*12*J40*$X$2</f>
        <v>422401.41465129651</v>
      </c>
      <c r="S40" s="54">
        <f>MIN($B40,VLOOKUP($A40,Parámetros!$A$2:$J$122,8,FALSE)*UF)*12*I40*$X$2</f>
        <v>422401.41465129651</v>
      </c>
      <c r="T40" s="54">
        <f>MIN($B40,VLOOKUP($A40,Parámetros!$A$2:$J$122,8,FALSE)*UF)*12*J40*$X$2</f>
        <v>422401.41465129651</v>
      </c>
      <c r="U40" s="47"/>
      <c r="V40" s="62"/>
      <c r="W40" s="62"/>
      <c r="X40" s="62"/>
      <c r="Y40" s="62"/>
      <c r="Z40" s="54">
        <f t="shared" si="10"/>
        <v>1368686.985854021</v>
      </c>
      <c r="AA40" s="54">
        <f t="shared" si="11"/>
        <v>1368686.985854021</v>
      </c>
      <c r="AB40" s="54">
        <f t="shared" si="12"/>
        <v>1368686.985854021</v>
      </c>
      <c r="AC40" s="54">
        <f t="shared" si="13"/>
        <v>1368686.985854021</v>
      </c>
      <c r="AI40" s="52">
        <f t="shared" si="6"/>
        <v>0</v>
      </c>
      <c r="AJ40" s="52">
        <f t="shared" si="7"/>
        <v>0</v>
      </c>
      <c r="AK40" s="52">
        <f t="shared" si="8"/>
        <v>0</v>
      </c>
      <c r="AL40" s="52">
        <f t="shared" si="9"/>
        <v>0</v>
      </c>
      <c r="AM40" s="39"/>
      <c r="AN40" s="30"/>
      <c r="AO40" s="30"/>
      <c r="AP40" s="30"/>
    </row>
    <row r="41" spans="1:42" x14ac:dyDescent="0.25">
      <c r="A41" s="30">
        <v>2006</v>
      </c>
      <c r="B41" s="33">
        <f>w_uf*UF*Parámetros!C28</f>
        <v>618187.38711796631</v>
      </c>
      <c r="C41" s="30">
        <f t="shared" si="1"/>
        <v>27</v>
      </c>
      <c r="D41" s="30">
        <f>((A41=Inputs!$C$12)*(Inputs!$D$12) + (A41=Inputs!$C$13)*(Inputs!$D$13) + (A41=Inputs!$C$14)*(Inputs!$D$14)) *(A41 &gt;= a_afil)*(A41&gt;=2024)</f>
        <v>0</v>
      </c>
      <c r="E41" s="30">
        <v>0</v>
      </c>
      <c r="F41" s="30">
        <f t="shared" si="2"/>
        <v>1</v>
      </c>
      <c r="G41" s="30">
        <f t="shared" si="3"/>
        <v>1</v>
      </c>
      <c r="H41" s="30">
        <v>0.2771683931350708</v>
      </c>
      <c r="I41" s="37">
        <f t="shared" si="4"/>
        <v>0.57999999999999996</v>
      </c>
      <c r="J41" s="37">
        <f t="shared" si="5"/>
        <v>0.57999999999999996</v>
      </c>
      <c r="K41" s="84"/>
      <c r="L41" s="71"/>
      <c r="M41" s="72"/>
      <c r="N41" s="62"/>
      <c r="O41" s="62"/>
      <c r="P41" s="62"/>
      <c r="Q41" s="54">
        <f>MIN($B41,VLOOKUP($A41,Parámetros!$A$2:$J$122,8,FALSE)*UF)*12*I41*$X$2</f>
        <v>430258.42143410456</v>
      </c>
      <c r="R41" s="54">
        <f>MIN($B41,VLOOKUP($A41,Parámetros!$A$2:$J$122,8,FALSE)*UF)*12*J41*$X$2</f>
        <v>430258.42143410456</v>
      </c>
      <c r="S41" s="54">
        <f>MIN($B41,VLOOKUP($A41,Parámetros!$A$2:$J$122,8,FALSE)*UF)*12*I41*$X$2</f>
        <v>430258.42143410456</v>
      </c>
      <c r="T41" s="54">
        <f>MIN($B41,VLOOKUP($A41,Parámetros!$A$2:$J$122,8,FALSE)*UF)*12*J41*$X$2</f>
        <v>430258.42143410456</v>
      </c>
      <c r="U41" s="47"/>
      <c r="V41" s="62"/>
      <c r="W41" s="62"/>
      <c r="X41" s="62"/>
      <c r="Y41" s="62"/>
      <c r="Z41" s="54">
        <f t="shared" si="10"/>
        <v>1861631.27124024</v>
      </c>
      <c r="AA41" s="54">
        <f t="shared" si="11"/>
        <v>1861631.27124024</v>
      </c>
      <c r="AB41" s="54">
        <f t="shared" si="12"/>
        <v>1861631.27124024</v>
      </c>
      <c r="AC41" s="54">
        <f t="shared" si="13"/>
        <v>1861631.27124024</v>
      </c>
      <c r="AI41" s="52">
        <f t="shared" si="6"/>
        <v>0</v>
      </c>
      <c r="AJ41" s="52">
        <f t="shared" si="7"/>
        <v>0</v>
      </c>
      <c r="AK41" s="52">
        <f t="shared" si="8"/>
        <v>0</v>
      </c>
      <c r="AL41" s="52">
        <f t="shared" si="9"/>
        <v>0</v>
      </c>
      <c r="AM41" s="39"/>
      <c r="AN41" s="30"/>
      <c r="AO41" s="30"/>
      <c r="AP41" s="30"/>
    </row>
    <row r="42" spans="1:42" x14ac:dyDescent="0.25">
      <c r="A42" s="30">
        <v>2007</v>
      </c>
      <c r="B42" s="33">
        <f>w_uf*UF*Parámetros!C29</f>
        <v>630291.49239480181</v>
      </c>
      <c r="C42" s="30">
        <f t="shared" si="1"/>
        <v>28</v>
      </c>
      <c r="D42" s="30">
        <f>((A42=Inputs!$C$12)*(Inputs!$D$12) + (A42=Inputs!$C$13)*(Inputs!$D$13) + (A42=Inputs!$C$14)*(Inputs!$D$14)) *(A42 &gt;= a_afil)*(A42&gt;=2024)</f>
        <v>0</v>
      </c>
      <c r="E42" s="30">
        <v>0</v>
      </c>
      <c r="F42" s="30">
        <f t="shared" si="2"/>
        <v>1</v>
      </c>
      <c r="G42" s="30">
        <f t="shared" si="3"/>
        <v>1</v>
      </c>
      <c r="H42" s="30">
        <v>0.3565862774848938</v>
      </c>
      <c r="I42" s="37">
        <f t="shared" si="4"/>
        <v>0.57999999999999996</v>
      </c>
      <c r="J42" s="37">
        <f t="shared" si="5"/>
        <v>0.57999999999999996</v>
      </c>
      <c r="K42" s="84"/>
      <c r="L42" s="71"/>
      <c r="M42" s="72"/>
      <c r="N42" s="62"/>
      <c r="O42" s="62"/>
      <c r="P42" s="62"/>
      <c r="Q42" s="54">
        <f>MIN($B42,VLOOKUP($A42,Parámetros!$A$2:$J$122,8,FALSE)*UF)*12*I42*$X$2</f>
        <v>438682.87870678207</v>
      </c>
      <c r="R42" s="54">
        <f>MIN($B42,VLOOKUP($A42,Parámetros!$A$2:$J$122,8,FALSE)*UF)*12*J42*$X$2</f>
        <v>438682.87870678207</v>
      </c>
      <c r="S42" s="54">
        <f>MIN($B42,VLOOKUP($A42,Parámetros!$A$2:$J$122,8,FALSE)*UF)*12*I42*$X$2</f>
        <v>438682.87870678207</v>
      </c>
      <c r="T42" s="54">
        <f>MIN($B42,VLOOKUP($A42,Parámetros!$A$2:$J$122,8,FALSE)*UF)*12*J42*$X$2</f>
        <v>438682.87870678207</v>
      </c>
      <c r="U42" s="47"/>
      <c r="V42" s="62"/>
      <c r="W42" s="62"/>
      <c r="X42" s="62"/>
      <c r="Y42" s="62"/>
      <c r="Z42" s="54">
        <f t="shared" si="10"/>
        <v>2593893.4014216079</v>
      </c>
      <c r="AA42" s="54">
        <f t="shared" si="11"/>
        <v>2593893.4014216079</v>
      </c>
      <c r="AB42" s="54">
        <f t="shared" si="12"/>
        <v>2593893.4014216079</v>
      </c>
      <c r="AC42" s="54">
        <f t="shared" si="13"/>
        <v>2593893.4014216079</v>
      </c>
      <c r="AI42" s="52">
        <f t="shared" si="6"/>
        <v>0</v>
      </c>
      <c r="AJ42" s="52">
        <f t="shared" si="7"/>
        <v>0</v>
      </c>
      <c r="AK42" s="52">
        <f t="shared" si="8"/>
        <v>0</v>
      </c>
      <c r="AL42" s="52">
        <f t="shared" si="9"/>
        <v>0</v>
      </c>
      <c r="AM42" s="39"/>
      <c r="AN42" s="30"/>
      <c r="AO42" s="30"/>
      <c r="AP42" s="30"/>
    </row>
    <row r="43" spans="1:42" x14ac:dyDescent="0.25">
      <c r="A43" s="30">
        <v>2008</v>
      </c>
      <c r="B43" s="33">
        <f>w_uf*UF*Parámetros!C30</f>
        <v>648039.99909606832</v>
      </c>
      <c r="C43" s="30">
        <f t="shared" si="1"/>
        <v>29</v>
      </c>
      <c r="D43" s="30">
        <f>((A43=Inputs!$C$12)*(Inputs!$D$12) + (A43=Inputs!$C$13)*(Inputs!$D$13) + (A43=Inputs!$C$14)*(Inputs!$D$14)) *(A43 &gt;= a_afil)*(A43&gt;=2024)</f>
        <v>0</v>
      </c>
      <c r="E43" s="30">
        <v>0</v>
      </c>
      <c r="F43" s="30">
        <f t="shared" si="2"/>
        <v>1</v>
      </c>
      <c r="G43" s="30">
        <f t="shared" si="3"/>
        <v>1</v>
      </c>
      <c r="H43" s="30">
        <v>0.4334571361541748</v>
      </c>
      <c r="I43" s="37">
        <f t="shared" si="4"/>
        <v>0.57999999999999996</v>
      </c>
      <c r="J43" s="37">
        <f t="shared" si="5"/>
        <v>0.57999999999999996</v>
      </c>
      <c r="K43" s="84"/>
      <c r="L43" s="71"/>
      <c r="M43" s="72"/>
      <c r="N43" s="62"/>
      <c r="O43" s="62"/>
      <c r="P43" s="62"/>
      <c r="Q43" s="54">
        <f>MIN($B43,VLOOKUP($A43,Parámetros!$A$2:$J$122,8,FALSE)*UF)*12*I43*$X$2</f>
        <v>451035.83937086351</v>
      </c>
      <c r="R43" s="54">
        <f>MIN($B43,VLOOKUP($A43,Parámetros!$A$2:$J$122,8,FALSE)*UF)*12*J43*$X$2</f>
        <v>451035.83937086351</v>
      </c>
      <c r="S43" s="54">
        <f>MIN($B43,VLOOKUP($A43,Parámetros!$A$2:$J$122,8,FALSE)*UF)*12*I43*$X$2</f>
        <v>451035.83937086351</v>
      </c>
      <c r="T43" s="54">
        <f>MIN($B43,VLOOKUP($A43,Parámetros!$A$2:$J$122,8,FALSE)*UF)*12*J43*$X$2</f>
        <v>451035.83937086351</v>
      </c>
      <c r="U43" s="47"/>
      <c r="V43" s="62"/>
      <c r="W43" s="62"/>
      <c r="X43" s="62"/>
      <c r="Y43" s="62"/>
      <c r="Z43" s="54">
        <f t="shared" si="10"/>
        <v>3174364.52152341</v>
      </c>
      <c r="AA43" s="54">
        <f t="shared" si="11"/>
        <v>3174364.52152341</v>
      </c>
      <c r="AB43" s="54">
        <f t="shared" si="12"/>
        <v>3174364.52152341</v>
      </c>
      <c r="AC43" s="54">
        <f t="shared" si="13"/>
        <v>3174364.52152341</v>
      </c>
      <c r="AI43" s="52">
        <f t="shared" si="6"/>
        <v>0</v>
      </c>
      <c r="AJ43" s="52">
        <f t="shared" si="7"/>
        <v>0</v>
      </c>
      <c r="AK43" s="52">
        <f t="shared" si="8"/>
        <v>0</v>
      </c>
      <c r="AL43" s="52">
        <f t="shared" si="9"/>
        <v>0</v>
      </c>
      <c r="AM43" s="39"/>
      <c r="AN43" s="30"/>
      <c r="AO43" s="30"/>
      <c r="AP43" s="30"/>
    </row>
    <row r="44" spans="1:42" x14ac:dyDescent="0.25">
      <c r="A44" s="30">
        <v>2009</v>
      </c>
      <c r="B44" s="33">
        <f>w_uf*UF*Parámetros!C31</f>
        <v>646722.97209703445</v>
      </c>
      <c r="C44" s="30">
        <f t="shared" si="1"/>
        <v>30</v>
      </c>
      <c r="D44" s="30">
        <f>((A44=Inputs!$C$12)*(Inputs!$D$12) + (A44=Inputs!$C$13)*(Inputs!$D$13) + (A44=Inputs!$C$14)*(Inputs!$D$14)) *(A44 &gt;= a_afil)*(A44&gt;=2024)</f>
        <v>0</v>
      </c>
      <c r="E44" s="30">
        <v>0</v>
      </c>
      <c r="F44" s="30">
        <f t="shared" si="2"/>
        <v>1</v>
      </c>
      <c r="G44" s="30">
        <f t="shared" si="3"/>
        <v>1</v>
      </c>
      <c r="H44" s="30">
        <v>0.94497102499008179</v>
      </c>
      <c r="I44" s="37">
        <f t="shared" si="4"/>
        <v>0.57999999999999996</v>
      </c>
      <c r="J44" s="37">
        <f t="shared" si="5"/>
        <v>0.57999999999999996</v>
      </c>
      <c r="K44" s="84"/>
      <c r="L44" s="71"/>
      <c r="M44" s="72"/>
      <c r="N44" s="62"/>
      <c r="O44" s="62"/>
      <c r="P44" s="62"/>
      <c r="Q44" s="54">
        <f>MIN($B44,VLOOKUP($A44,Parámetros!$A$2:$J$122,8,FALSE)*UF)*12*I44*$X$2</f>
        <v>450119.18857953598</v>
      </c>
      <c r="R44" s="54">
        <f>MIN($B44,VLOOKUP($A44,Parámetros!$A$2:$J$122,8,FALSE)*UF)*12*J44*$X$2</f>
        <v>450119.18857953598</v>
      </c>
      <c r="S44" s="54">
        <f>MIN($B44,VLOOKUP($A44,Parámetros!$A$2:$J$122,8,FALSE)*UF)*12*I44*$X$2</f>
        <v>450119.18857953598</v>
      </c>
      <c r="T44" s="54">
        <f>MIN($B44,VLOOKUP($A44,Parámetros!$A$2:$J$122,8,FALSE)*UF)*12*J44*$X$2</f>
        <v>450119.18857953598</v>
      </c>
      <c r="U44" s="47"/>
      <c r="V44" s="62"/>
      <c r="W44" s="62"/>
      <c r="X44" s="62"/>
      <c r="Y44" s="62"/>
      <c r="Z44" s="54">
        <f t="shared" si="10"/>
        <v>3023259.0697264122</v>
      </c>
      <c r="AA44" s="54">
        <f t="shared" si="11"/>
        <v>3023259.0697264122</v>
      </c>
      <c r="AB44" s="54">
        <f t="shared" si="12"/>
        <v>3023259.0697264122</v>
      </c>
      <c r="AC44" s="54">
        <f t="shared" si="13"/>
        <v>3023259.0697264122</v>
      </c>
      <c r="AI44" s="52">
        <f t="shared" si="6"/>
        <v>0</v>
      </c>
      <c r="AJ44" s="52">
        <f t="shared" si="7"/>
        <v>0</v>
      </c>
      <c r="AK44" s="52">
        <f t="shared" si="8"/>
        <v>0</v>
      </c>
      <c r="AL44" s="52">
        <f t="shared" si="9"/>
        <v>0</v>
      </c>
      <c r="AM44" s="39"/>
      <c r="AN44" s="30"/>
      <c r="AO44" s="30"/>
      <c r="AP44" s="30"/>
    </row>
    <row r="45" spans="1:42" x14ac:dyDescent="0.25">
      <c r="A45" s="30">
        <v>2010</v>
      </c>
      <c r="B45" s="33">
        <f>w_uf*UF*Parámetros!C32</f>
        <v>677677.83256711613</v>
      </c>
      <c r="C45" s="30">
        <f t="shared" si="1"/>
        <v>31</v>
      </c>
      <c r="D45" s="30">
        <f>((A45=Inputs!$C$12)*(Inputs!$D$12) + (A45=Inputs!$C$13)*(Inputs!$D$13) + (A45=Inputs!$C$14)*(Inputs!$D$14)) *(A45 &gt;= a_afil)*(A45&gt;=2024)</f>
        <v>0</v>
      </c>
      <c r="E45" s="30">
        <v>0</v>
      </c>
      <c r="F45" s="30">
        <f t="shared" si="2"/>
        <v>1</v>
      </c>
      <c r="G45" s="30">
        <f t="shared" si="3"/>
        <v>1</v>
      </c>
      <c r="H45" s="30">
        <v>0.12154996395111084</v>
      </c>
      <c r="I45" s="37">
        <f t="shared" si="4"/>
        <v>0.57999999999999996</v>
      </c>
      <c r="J45" s="37">
        <f t="shared" si="5"/>
        <v>0.57999999999999996</v>
      </c>
      <c r="K45" s="84"/>
      <c r="L45" s="71"/>
      <c r="M45" s="72"/>
      <c r="N45" s="62"/>
      <c r="O45" s="62"/>
      <c r="P45" s="62"/>
      <c r="Q45" s="54">
        <f>MIN($B45,VLOOKUP($A45,Parámetros!$A$2:$J$122,8,FALSE)*UF)*12*I45*$X$2</f>
        <v>471663.77146671276</v>
      </c>
      <c r="R45" s="54">
        <f>MIN($B45,VLOOKUP($A45,Parámetros!$A$2:$J$122,8,FALSE)*UF)*12*J45*$X$2</f>
        <v>471663.77146671276</v>
      </c>
      <c r="S45" s="54">
        <f>MIN($B45,VLOOKUP($A45,Parámetros!$A$2:$J$122,8,FALSE)*UF)*12*I45*$X$2</f>
        <v>471663.77146671276</v>
      </c>
      <c r="T45" s="54">
        <f>MIN($B45,VLOOKUP($A45,Parámetros!$A$2:$J$122,8,FALSE)*UF)*12*J45*$X$2</f>
        <v>471663.77146671276</v>
      </c>
      <c r="U45" s="47"/>
      <c r="V45" s="62"/>
      <c r="W45" s="62"/>
      <c r="X45" s="62"/>
      <c r="Y45" s="62"/>
      <c r="Z45" s="54">
        <f t="shared" si="10"/>
        <v>4176063.1096024858</v>
      </c>
      <c r="AA45" s="54">
        <f t="shared" si="11"/>
        <v>4176063.1096024858</v>
      </c>
      <c r="AB45" s="54">
        <f t="shared" si="12"/>
        <v>4176063.1096024858</v>
      </c>
      <c r="AC45" s="54">
        <f t="shared" si="13"/>
        <v>4176063.1096024858</v>
      </c>
      <c r="AI45" s="52">
        <f t="shared" si="6"/>
        <v>0</v>
      </c>
      <c r="AJ45" s="52">
        <f t="shared" si="7"/>
        <v>0</v>
      </c>
      <c r="AK45" s="52">
        <f t="shared" si="8"/>
        <v>0</v>
      </c>
      <c r="AL45" s="52">
        <f t="shared" si="9"/>
        <v>0</v>
      </c>
      <c r="AM45" s="39"/>
      <c r="AN45" s="30"/>
      <c r="AO45" s="30"/>
      <c r="AP45" s="30"/>
    </row>
    <row r="46" spans="1:42" x14ac:dyDescent="0.25">
      <c r="A46" s="30">
        <v>2011</v>
      </c>
      <c r="B46" s="33">
        <f>w_uf*UF*Parámetros!C33</f>
        <v>695953.37307313946</v>
      </c>
      <c r="C46" s="30">
        <f t="shared" si="1"/>
        <v>32</v>
      </c>
      <c r="D46" s="30">
        <f>((A46=Inputs!$C$12)*(Inputs!$D$12) + (A46=Inputs!$C$13)*(Inputs!$D$13) + (A46=Inputs!$C$14)*(Inputs!$D$14)) *(A46 &gt;= a_afil)*(A46&gt;=2024)</f>
        <v>0</v>
      </c>
      <c r="E46" s="30">
        <v>0</v>
      </c>
      <c r="F46" s="30">
        <f t="shared" si="2"/>
        <v>1</v>
      </c>
      <c r="G46" s="30">
        <f t="shared" si="3"/>
        <v>1</v>
      </c>
      <c r="H46" s="30">
        <v>0.64595133066177368</v>
      </c>
      <c r="I46" s="37">
        <f t="shared" si="4"/>
        <v>0.57999999999999996</v>
      </c>
      <c r="J46" s="37">
        <f t="shared" si="5"/>
        <v>0.57999999999999996</v>
      </c>
      <c r="K46" s="84"/>
      <c r="L46" s="71"/>
      <c r="M46" s="72"/>
      <c r="N46" s="62"/>
      <c r="O46" s="62"/>
      <c r="P46" s="62"/>
      <c r="Q46" s="54">
        <f>MIN($B46,VLOOKUP($A46,Parámetros!$A$2:$J$122,8,FALSE)*UF)*12*I46*$X$2</f>
        <v>484383.54765890504</v>
      </c>
      <c r="R46" s="54">
        <f>MIN($B46,VLOOKUP($A46,Parámetros!$A$2:$J$122,8,FALSE)*UF)*12*J46*$X$2</f>
        <v>484383.54765890504</v>
      </c>
      <c r="S46" s="54">
        <f>MIN($B46,VLOOKUP($A46,Parámetros!$A$2:$J$122,8,FALSE)*UF)*12*I46*$X$2</f>
        <v>484383.54765890504</v>
      </c>
      <c r="T46" s="54">
        <f>MIN($B46,VLOOKUP($A46,Parámetros!$A$2:$J$122,8,FALSE)*UF)*12*J46*$X$2</f>
        <v>484383.54765890504</v>
      </c>
      <c r="U46" s="47"/>
      <c r="V46" s="62"/>
      <c r="W46" s="62"/>
      <c r="X46" s="62"/>
      <c r="Y46" s="62"/>
      <c r="Z46" s="54">
        <f t="shared" si="10"/>
        <v>5050490.9516982632</v>
      </c>
      <c r="AA46" s="54">
        <f t="shared" si="11"/>
        <v>5050490.9516982632</v>
      </c>
      <c r="AB46" s="54">
        <f t="shared" si="12"/>
        <v>5050490.9516982632</v>
      </c>
      <c r="AC46" s="54">
        <f t="shared" si="13"/>
        <v>5050490.9516982632</v>
      </c>
      <c r="AI46" s="52">
        <f t="shared" si="6"/>
        <v>0</v>
      </c>
      <c r="AJ46" s="52">
        <f t="shared" si="7"/>
        <v>0</v>
      </c>
      <c r="AK46" s="52">
        <f t="shared" si="8"/>
        <v>0</v>
      </c>
      <c r="AL46" s="52">
        <f t="shared" si="9"/>
        <v>0</v>
      </c>
      <c r="AM46" s="39"/>
      <c r="AN46" s="30"/>
      <c r="AO46" s="30"/>
      <c r="AP46" s="30"/>
    </row>
    <row r="47" spans="1:42" x14ac:dyDescent="0.25">
      <c r="A47" s="30">
        <v>2012</v>
      </c>
      <c r="B47" s="33">
        <f>w_uf*UF*Parámetros!C34</f>
        <v>713348.65352546691</v>
      </c>
      <c r="C47" s="30">
        <f t="shared" si="1"/>
        <v>33</v>
      </c>
      <c r="D47" s="30">
        <f>((A47=Inputs!$C$12)*(Inputs!$D$12) + (A47=Inputs!$C$13)*(Inputs!$D$13) + (A47=Inputs!$C$14)*(Inputs!$D$14)) *(A47 &gt;= a_afil)*(A47&gt;=2024)</f>
        <v>0</v>
      </c>
      <c r="E47" s="30">
        <v>0</v>
      </c>
      <c r="F47" s="30">
        <f t="shared" si="2"/>
        <v>1</v>
      </c>
      <c r="G47" s="30">
        <f t="shared" si="3"/>
        <v>1</v>
      </c>
      <c r="H47" s="30">
        <v>0.34783267974853516</v>
      </c>
      <c r="I47" s="37">
        <f t="shared" si="4"/>
        <v>0.57999999999999996</v>
      </c>
      <c r="J47" s="37">
        <f t="shared" si="5"/>
        <v>0.57999999999999996</v>
      </c>
      <c r="K47" s="84"/>
      <c r="L47" s="71"/>
      <c r="M47" s="72"/>
      <c r="N47" s="62"/>
      <c r="O47" s="62"/>
      <c r="P47" s="62"/>
      <c r="Q47" s="54">
        <f>MIN($B47,VLOOKUP($A47,Parámetros!$A$2:$J$122,8,FALSE)*UF)*12*I47*$X$2</f>
        <v>496490.66285372491</v>
      </c>
      <c r="R47" s="54">
        <f>MIN($B47,VLOOKUP($A47,Parámetros!$A$2:$J$122,8,FALSE)*UF)*12*J47*$X$2</f>
        <v>496490.66285372491</v>
      </c>
      <c r="S47" s="54">
        <f>MIN($B47,VLOOKUP($A47,Parámetros!$A$2:$J$122,8,FALSE)*UF)*12*I47*$X$2</f>
        <v>496490.66285372491</v>
      </c>
      <c r="T47" s="54">
        <f>MIN($B47,VLOOKUP($A47,Parámetros!$A$2:$J$122,8,FALSE)*UF)*12*J47*$X$2</f>
        <v>496490.66285372491</v>
      </c>
      <c r="U47" s="47"/>
      <c r="V47" s="62"/>
      <c r="W47" s="62"/>
      <c r="X47" s="62"/>
      <c r="Y47" s="62"/>
      <c r="Z47" s="54">
        <f t="shared" si="10"/>
        <v>5355568.0074826237</v>
      </c>
      <c r="AA47" s="54">
        <f t="shared" si="11"/>
        <v>5355568.0074826237</v>
      </c>
      <c r="AB47" s="54">
        <f t="shared" si="12"/>
        <v>5355568.0074826237</v>
      </c>
      <c r="AC47" s="54">
        <f t="shared" si="13"/>
        <v>5355568.0074826237</v>
      </c>
      <c r="AI47" s="52">
        <f t="shared" si="6"/>
        <v>0</v>
      </c>
      <c r="AJ47" s="52">
        <f t="shared" si="7"/>
        <v>0</v>
      </c>
      <c r="AK47" s="52">
        <f t="shared" si="8"/>
        <v>0</v>
      </c>
      <c r="AL47" s="52">
        <f t="shared" si="9"/>
        <v>0</v>
      </c>
      <c r="AM47" s="39"/>
      <c r="AN47" s="30"/>
      <c r="AO47" s="30"/>
      <c r="AP47" s="30"/>
    </row>
    <row r="48" spans="1:42" x14ac:dyDescent="0.25">
      <c r="A48" s="30">
        <v>2013</v>
      </c>
      <c r="B48" s="33">
        <f>w_uf*UF*Parámetros!C35</f>
        <v>736534.87895418215</v>
      </c>
      <c r="C48" s="30">
        <f t="shared" si="1"/>
        <v>34</v>
      </c>
      <c r="D48" s="30">
        <f>((A48=Inputs!$C$12)*(Inputs!$D$12) + (A48=Inputs!$C$13)*(Inputs!$D$13) + (A48=Inputs!$C$14)*(Inputs!$D$14)) *(A48 &gt;= a_afil)*(A48&gt;=2024)</f>
        <v>0</v>
      </c>
      <c r="E48" s="30">
        <v>0</v>
      </c>
      <c r="F48" s="30">
        <f t="shared" ref="F48:F79" si="14" xml:space="preserve"> (C48&lt;edad_ret_h) * (A48&gt;=a_afil)</f>
        <v>1</v>
      </c>
      <c r="G48" s="30">
        <f t="shared" ref="G48:G79" si="15" xml:space="preserve"> (C48&lt;edad_ret_m) * (A48&gt;=a_afil)</f>
        <v>1</v>
      </c>
      <c r="H48" s="30">
        <v>0.10443228483200073</v>
      </c>
      <c r="I48" s="37">
        <f t="shared" si="4"/>
        <v>0.57999999999999996</v>
      </c>
      <c r="J48" s="37">
        <f t="shared" si="5"/>
        <v>0.57999999999999996</v>
      </c>
      <c r="K48" s="84"/>
      <c r="L48" s="71"/>
      <c r="M48" s="72"/>
      <c r="N48" s="62"/>
      <c r="O48" s="62"/>
      <c r="P48" s="62"/>
      <c r="Q48" s="54">
        <f>MIN($B48,VLOOKUP($A48,Parámetros!$A$2:$J$122,8,FALSE)*UF)*12*I48*$X$2</f>
        <v>512628.2757521107</v>
      </c>
      <c r="R48" s="54">
        <f>MIN($B48,VLOOKUP($A48,Parámetros!$A$2:$J$122,8,FALSE)*UF)*12*J48*$X$2</f>
        <v>512628.2757521107</v>
      </c>
      <c r="S48" s="54">
        <f>MIN($B48,VLOOKUP($A48,Parámetros!$A$2:$J$122,8,FALSE)*UF)*12*I48*$X$2</f>
        <v>512628.2757521107</v>
      </c>
      <c r="T48" s="54">
        <f>MIN($B48,VLOOKUP($A48,Parámetros!$A$2:$J$122,8,FALSE)*UF)*12*J48*$X$2</f>
        <v>512628.2757521107</v>
      </c>
      <c r="U48" s="47"/>
      <c r="V48" s="62"/>
      <c r="W48" s="62"/>
      <c r="X48" s="62"/>
      <c r="Y48" s="62"/>
      <c r="Z48" s="54">
        <f t="shared" si="10"/>
        <v>6115087.9683796829</v>
      </c>
      <c r="AA48" s="54">
        <f t="shared" si="11"/>
        <v>6115087.9683796829</v>
      </c>
      <c r="AB48" s="54">
        <f t="shared" si="12"/>
        <v>6115087.9683796829</v>
      </c>
      <c r="AC48" s="54">
        <f t="shared" si="13"/>
        <v>6115087.9683796829</v>
      </c>
      <c r="AI48" s="52">
        <f t="shared" ref="AI48:AI79" si="16">($A48=D$9)*Z48/(12*_xlfn.XLOOKUP(AI$15,sexo_cnu,cnu))</f>
        <v>0</v>
      </c>
      <c r="AJ48" s="52">
        <f t="shared" ref="AJ48:AJ79" si="17">($A48=E$9)*AA48/(12*_xlfn.XLOOKUP(AJ$15,sexo_cnu,cnu))</f>
        <v>0</v>
      </c>
      <c r="AK48" s="52">
        <f t="shared" ref="AK48:AK79" si="18">($A48=D$9)*AB48/(12*_xlfn.XLOOKUP(AK$15,sexo_cnu,cnu))</f>
        <v>0</v>
      </c>
      <c r="AL48" s="52">
        <f t="shared" ref="AL48:AL79" si="19">($A48=E$9)*AC48/(12*_xlfn.XLOOKUP(AL$15,sexo_cnu,cnu))</f>
        <v>0</v>
      </c>
      <c r="AM48" s="39"/>
      <c r="AN48" s="30"/>
      <c r="AO48" s="30"/>
      <c r="AP48" s="30"/>
    </row>
    <row r="49" spans="1:42" x14ac:dyDescent="0.25">
      <c r="A49" s="30">
        <v>2014</v>
      </c>
      <c r="B49" s="33">
        <f>w_uf*UF*Parámetros!C36</f>
        <v>764995.80232650624</v>
      </c>
      <c r="C49" s="30">
        <f t="shared" si="1"/>
        <v>35</v>
      </c>
      <c r="D49" s="30">
        <f>((A49=Inputs!$C$12)*(Inputs!$D$12) + (A49=Inputs!$C$13)*(Inputs!$D$13) + (A49=Inputs!$C$14)*(Inputs!$D$14)) *(A49 &gt;= a_afil)*(A49&gt;=2024)</f>
        <v>0</v>
      </c>
      <c r="E49" s="30">
        <v>0</v>
      </c>
      <c r="F49" s="30">
        <f t="shared" si="14"/>
        <v>1</v>
      </c>
      <c r="G49" s="30">
        <f t="shared" si="15"/>
        <v>1</v>
      </c>
      <c r="H49" s="30">
        <v>0.185402512550354</v>
      </c>
      <c r="I49" s="37">
        <f t="shared" si="4"/>
        <v>0.57999999999999996</v>
      </c>
      <c r="J49" s="37">
        <f t="shared" si="5"/>
        <v>0.57999999999999996</v>
      </c>
      <c r="K49" s="84"/>
      <c r="L49" s="71"/>
      <c r="M49" s="72"/>
      <c r="N49" s="62"/>
      <c r="O49" s="62"/>
      <c r="P49" s="62"/>
      <c r="Q49" s="54">
        <f>MIN($B49,VLOOKUP($A49,Parámetros!$A$2:$J$122,8,FALSE)*UF)*12*I49*$X$2</f>
        <v>532437.07841924846</v>
      </c>
      <c r="R49" s="54">
        <f>MIN($B49,VLOOKUP($A49,Parámetros!$A$2:$J$122,8,FALSE)*UF)*12*J49*$X$2</f>
        <v>532437.07841924846</v>
      </c>
      <c r="S49" s="54">
        <f>MIN($B49,VLOOKUP($A49,Parámetros!$A$2:$J$122,8,FALSE)*UF)*12*I49*$X$2</f>
        <v>532437.07841924846</v>
      </c>
      <c r="T49" s="54">
        <f>MIN($B49,VLOOKUP($A49,Parámetros!$A$2:$J$122,8,FALSE)*UF)*12*J49*$X$2</f>
        <v>532437.07841924846</v>
      </c>
      <c r="U49" s="47"/>
      <c r="V49" s="62"/>
      <c r="W49" s="62"/>
      <c r="X49" s="62"/>
      <c r="Y49" s="62"/>
      <c r="Z49" s="54">
        <f t="shared" ref="Z49:Z80" si="20">F48*Z48*(1+_xlfn.XLOOKUP(MIN(2024,$A48),agnos_rent,rent_base))+Q49</f>
        <v>6933711.1637190999</v>
      </c>
      <c r="AA49" s="54">
        <f t="shared" ref="AA49:AA80" si="21">G48*AA48*(1+_xlfn.XLOOKUP(MIN(2024,$A48),agnos_rent,rent_base))+R49</f>
        <v>6933711.1637190999</v>
      </c>
      <c r="AB49" s="54">
        <f t="shared" si="12"/>
        <v>6933711.1637190999</v>
      </c>
      <c r="AC49" s="54">
        <f t="shared" si="13"/>
        <v>6933711.1637190999</v>
      </c>
      <c r="AI49" s="52">
        <f t="shared" si="16"/>
        <v>0</v>
      </c>
      <c r="AJ49" s="52">
        <f t="shared" si="17"/>
        <v>0</v>
      </c>
      <c r="AK49" s="52">
        <f t="shared" si="18"/>
        <v>0</v>
      </c>
      <c r="AL49" s="52">
        <f t="shared" si="19"/>
        <v>0</v>
      </c>
      <c r="AM49" s="39"/>
      <c r="AN49" s="30"/>
      <c r="AO49" s="30"/>
      <c r="AP49" s="30"/>
    </row>
    <row r="50" spans="1:42" x14ac:dyDescent="0.25">
      <c r="A50" s="30">
        <v>2015</v>
      </c>
      <c r="B50" s="33">
        <f>w_uf*UF*Parámetros!C37</f>
        <v>778500.52543035639</v>
      </c>
      <c r="C50" s="30">
        <f t="shared" si="1"/>
        <v>36</v>
      </c>
      <c r="D50" s="30">
        <f>((A50=Inputs!$C$12)*(Inputs!$D$12) + (A50=Inputs!$C$13)*(Inputs!$D$13) + (A50=Inputs!$C$14)*(Inputs!$D$14)) *(A50 &gt;= a_afil)*(A50&gt;=2024)</f>
        <v>0</v>
      </c>
      <c r="E50" s="30">
        <v>0</v>
      </c>
      <c r="F50" s="30">
        <f t="shared" si="14"/>
        <v>1</v>
      </c>
      <c r="G50" s="30">
        <f t="shared" si="15"/>
        <v>1</v>
      </c>
      <c r="H50" s="30">
        <v>7.7684700489044189E-2</v>
      </c>
      <c r="I50" s="37">
        <f t="shared" si="4"/>
        <v>0.57999999999999996</v>
      </c>
      <c r="J50" s="37">
        <f t="shared" si="5"/>
        <v>0.57999999999999996</v>
      </c>
      <c r="K50" s="84"/>
      <c r="L50" s="71"/>
      <c r="M50" s="72"/>
      <c r="N50" s="62"/>
      <c r="O50" s="62"/>
      <c r="P50" s="62"/>
      <c r="Q50" s="54">
        <f>MIN($B50,VLOOKUP($A50,Parámetros!$A$2:$J$122,8,FALSE)*UF)*12*I50*$X$2</f>
        <v>541836.36569952813</v>
      </c>
      <c r="R50" s="54">
        <f>MIN($B50,VLOOKUP($A50,Parámetros!$A$2:$J$122,8,FALSE)*UF)*12*J50*$X$2</f>
        <v>541836.36569952813</v>
      </c>
      <c r="S50" s="54">
        <f>MIN($B50,VLOOKUP($A50,Parámetros!$A$2:$J$122,8,FALSE)*UF)*12*I50*$X$2</f>
        <v>541836.36569952813</v>
      </c>
      <c r="T50" s="54">
        <f>MIN($B50,VLOOKUP($A50,Parámetros!$A$2:$J$122,8,FALSE)*UF)*12*J50*$X$2</f>
        <v>541836.36569952813</v>
      </c>
      <c r="U50" s="47"/>
      <c r="V50" s="62"/>
      <c r="W50" s="62"/>
      <c r="X50" s="62"/>
      <c r="Y50" s="62"/>
      <c r="Z50" s="54">
        <f t="shared" si="20"/>
        <v>8099581.5341533469</v>
      </c>
      <c r="AA50" s="54">
        <f t="shared" si="21"/>
        <v>8099581.5341533469</v>
      </c>
      <c r="AB50" s="54">
        <f t="shared" si="12"/>
        <v>8099581.5341533469</v>
      </c>
      <c r="AC50" s="54">
        <f t="shared" si="13"/>
        <v>8099581.5341533469</v>
      </c>
      <c r="AI50" s="52">
        <f t="shared" si="16"/>
        <v>0</v>
      </c>
      <c r="AJ50" s="52">
        <f t="shared" si="17"/>
        <v>0</v>
      </c>
      <c r="AK50" s="52">
        <f t="shared" si="18"/>
        <v>0</v>
      </c>
      <c r="AL50" s="52">
        <f t="shared" si="19"/>
        <v>0</v>
      </c>
      <c r="AM50" s="39"/>
      <c r="AN50" s="30"/>
      <c r="AO50" s="30"/>
      <c r="AP50" s="30"/>
    </row>
    <row r="51" spans="1:42" x14ac:dyDescent="0.25">
      <c r="A51" s="30">
        <v>2016</v>
      </c>
      <c r="B51" s="33">
        <f>w_uf*UF*Parámetros!C38</f>
        <v>792334.44954061578</v>
      </c>
      <c r="C51" s="30">
        <f t="shared" si="1"/>
        <v>37</v>
      </c>
      <c r="D51" s="30">
        <f>((A51=Inputs!$C$12)*(Inputs!$D$12) + (A51=Inputs!$C$13)*(Inputs!$D$13) + (A51=Inputs!$C$14)*(Inputs!$D$14)) *(A51 &gt;= a_afil)*(A51&gt;=2024)</f>
        <v>0</v>
      </c>
      <c r="E51" s="30">
        <v>0</v>
      </c>
      <c r="F51" s="30">
        <f t="shared" si="14"/>
        <v>1</v>
      </c>
      <c r="G51" s="30">
        <f t="shared" si="15"/>
        <v>1</v>
      </c>
      <c r="H51" s="30">
        <v>0.43275952339172363</v>
      </c>
      <c r="I51" s="37">
        <f t="shared" si="4"/>
        <v>0.57999999999999996</v>
      </c>
      <c r="J51" s="37">
        <f t="shared" si="5"/>
        <v>0.57999999999999996</v>
      </c>
      <c r="K51" s="84"/>
      <c r="L51" s="71"/>
      <c r="M51" s="72"/>
      <c r="N51" s="62"/>
      <c r="O51" s="62"/>
      <c r="P51" s="62"/>
      <c r="Q51" s="54">
        <f>MIN($B51,VLOOKUP($A51,Parámetros!$A$2:$J$122,8,FALSE)*UF)*12*I51*$X$2</f>
        <v>551464.77688026847</v>
      </c>
      <c r="R51" s="54">
        <f>MIN($B51,VLOOKUP($A51,Parámetros!$A$2:$J$122,8,FALSE)*UF)*12*J51*$X$2</f>
        <v>551464.77688026847</v>
      </c>
      <c r="S51" s="54">
        <f>MIN($B51,VLOOKUP($A51,Parámetros!$A$2:$J$122,8,FALSE)*UF)*12*I51*$X$2</f>
        <v>551464.77688026847</v>
      </c>
      <c r="T51" s="54">
        <f>MIN($B51,VLOOKUP($A51,Parámetros!$A$2:$J$122,8,FALSE)*UF)*12*J51*$X$2</f>
        <v>551464.77688026847</v>
      </c>
      <c r="U51" s="47"/>
      <c r="V51" s="62"/>
      <c r="W51" s="62"/>
      <c r="X51" s="62"/>
      <c r="Y51" s="62"/>
      <c r="Z51" s="54">
        <f t="shared" si="20"/>
        <v>8825997.2721713278</v>
      </c>
      <c r="AA51" s="54">
        <f t="shared" si="21"/>
        <v>8825997.2721713278</v>
      </c>
      <c r="AB51" s="54">
        <f t="shared" si="12"/>
        <v>8825997.2721713278</v>
      </c>
      <c r="AC51" s="54">
        <f t="shared" si="13"/>
        <v>8825997.2721713278</v>
      </c>
      <c r="AI51" s="52">
        <f t="shared" si="16"/>
        <v>0</v>
      </c>
      <c r="AJ51" s="52">
        <f t="shared" si="17"/>
        <v>0</v>
      </c>
      <c r="AK51" s="52">
        <f t="shared" si="18"/>
        <v>0</v>
      </c>
      <c r="AL51" s="52">
        <f t="shared" si="19"/>
        <v>0</v>
      </c>
      <c r="AM51" s="39"/>
      <c r="AN51" s="30"/>
      <c r="AO51" s="30"/>
      <c r="AP51" s="30"/>
    </row>
    <row r="52" spans="1:42" x14ac:dyDescent="0.25">
      <c r="A52" s="30">
        <v>2017</v>
      </c>
      <c r="B52" s="33">
        <f>w_uf*UF*Parámetros!C39</f>
        <v>803385.12877850304</v>
      </c>
      <c r="C52" s="30">
        <f t="shared" si="1"/>
        <v>38</v>
      </c>
      <c r="D52" s="30">
        <f>((A52=Inputs!$C$12)*(Inputs!$D$12) + (A52=Inputs!$C$13)*(Inputs!$D$13) + (A52=Inputs!$C$14)*(Inputs!$D$14)) *(A52 &gt;= a_afil)*(A52&gt;=2024)</f>
        <v>0</v>
      </c>
      <c r="E52" s="30">
        <v>0</v>
      </c>
      <c r="F52" s="30">
        <f t="shared" si="14"/>
        <v>1</v>
      </c>
      <c r="G52" s="30">
        <f t="shared" si="15"/>
        <v>1</v>
      </c>
      <c r="H52" s="30">
        <v>0.9592708945274353</v>
      </c>
      <c r="I52" s="37">
        <f t="shared" si="4"/>
        <v>0.57999999999999996</v>
      </c>
      <c r="J52" s="37">
        <f t="shared" si="5"/>
        <v>0.57999999999999996</v>
      </c>
      <c r="K52" s="84"/>
      <c r="L52" s="71"/>
      <c r="M52" s="72"/>
      <c r="N52" s="62"/>
      <c r="O52" s="62"/>
      <c r="P52" s="62"/>
      <c r="Q52" s="54">
        <f>MIN($B52,VLOOKUP($A52,Parámetros!$A$2:$J$122,8,FALSE)*UF)*12*I52*$X$2</f>
        <v>559156.04962983809</v>
      </c>
      <c r="R52" s="54">
        <f>MIN($B52,VLOOKUP($A52,Parámetros!$A$2:$J$122,8,FALSE)*UF)*12*J52*$X$2</f>
        <v>559156.04962983809</v>
      </c>
      <c r="S52" s="54">
        <f>MIN($B52,VLOOKUP($A52,Parámetros!$A$2:$J$122,8,FALSE)*UF)*12*I52*$X$2</f>
        <v>559156.04962983809</v>
      </c>
      <c r="T52" s="54">
        <f>MIN($B52,VLOOKUP($A52,Parámetros!$A$2:$J$122,8,FALSE)*UF)*12*J52*$X$2</f>
        <v>559156.04962983809</v>
      </c>
      <c r="U52" s="47"/>
      <c r="V52" s="62"/>
      <c r="W52" s="62"/>
      <c r="X52" s="62"/>
      <c r="Y52" s="62"/>
      <c r="Z52" s="54">
        <f t="shared" si="20"/>
        <v>9538725.6743369475</v>
      </c>
      <c r="AA52" s="54">
        <f t="shared" si="21"/>
        <v>9538725.6743369475</v>
      </c>
      <c r="AB52" s="54">
        <f t="shared" si="12"/>
        <v>9538725.6743369475</v>
      </c>
      <c r="AC52" s="54">
        <f t="shared" si="13"/>
        <v>9538725.6743369475</v>
      </c>
      <c r="AI52" s="52">
        <f t="shared" si="16"/>
        <v>0</v>
      </c>
      <c r="AJ52" s="52">
        <f t="shared" si="17"/>
        <v>0</v>
      </c>
      <c r="AK52" s="52">
        <f t="shared" si="18"/>
        <v>0</v>
      </c>
      <c r="AL52" s="52">
        <f t="shared" si="19"/>
        <v>0</v>
      </c>
      <c r="AM52" s="39"/>
      <c r="AN52" s="30"/>
      <c r="AO52" s="30"/>
      <c r="AP52" s="30"/>
    </row>
    <row r="53" spans="1:42" x14ac:dyDescent="0.25">
      <c r="A53" s="30">
        <v>2018</v>
      </c>
      <c r="B53" s="33">
        <f>w_uf*UF*Parámetros!C40</f>
        <v>822725.68790506921</v>
      </c>
      <c r="C53" s="30">
        <f t="shared" si="1"/>
        <v>39</v>
      </c>
      <c r="D53" s="30">
        <f>((A53=Inputs!$C$12)*(Inputs!$D$12) + (A53=Inputs!$C$13)*(Inputs!$D$13) + (A53=Inputs!$C$14)*(Inputs!$D$14)) *(A53 &gt;= a_afil)*(A53&gt;=2024)</f>
        <v>0</v>
      </c>
      <c r="E53" s="30">
        <v>0</v>
      </c>
      <c r="F53" s="30">
        <f t="shared" si="14"/>
        <v>1</v>
      </c>
      <c r="G53" s="30">
        <f t="shared" si="15"/>
        <v>1</v>
      </c>
      <c r="H53" s="30">
        <v>0.54202926158905029</v>
      </c>
      <c r="I53" s="37">
        <f t="shared" si="4"/>
        <v>0.57999999999999996</v>
      </c>
      <c r="J53" s="37">
        <f t="shared" si="5"/>
        <v>0.57999999999999996</v>
      </c>
      <c r="K53" s="84"/>
      <c r="L53" s="71"/>
      <c r="M53" s="72"/>
      <c r="N53" s="62"/>
      <c r="O53" s="62"/>
      <c r="P53" s="62"/>
      <c r="Q53" s="54">
        <f>MIN($B53,VLOOKUP($A53,Parámetros!$A$2:$J$122,8,FALSE)*UF)*12*I53*$X$2</f>
        <v>572617.07878192805</v>
      </c>
      <c r="R53" s="54">
        <f>MIN($B53,VLOOKUP($A53,Parámetros!$A$2:$J$122,8,FALSE)*UF)*12*J53*$X$2</f>
        <v>572617.07878192805</v>
      </c>
      <c r="S53" s="54">
        <f>MIN($B53,VLOOKUP($A53,Parámetros!$A$2:$J$122,8,FALSE)*UF)*12*I53*$X$2</f>
        <v>572617.07878192805</v>
      </c>
      <c r="T53" s="54">
        <f>MIN($B53,VLOOKUP($A53,Parámetros!$A$2:$J$122,8,FALSE)*UF)*12*J53*$X$2</f>
        <v>572617.07878192805</v>
      </c>
      <c r="U53" s="47"/>
      <c r="V53" s="62"/>
      <c r="W53" s="62"/>
      <c r="X53" s="62"/>
      <c r="Y53" s="62"/>
      <c r="Z53" s="54">
        <f t="shared" si="20"/>
        <v>10827701.051261581</v>
      </c>
      <c r="AA53" s="54">
        <f t="shared" si="21"/>
        <v>10827701.051261581</v>
      </c>
      <c r="AB53" s="54">
        <f t="shared" si="12"/>
        <v>10827701.051261581</v>
      </c>
      <c r="AC53" s="54">
        <f t="shared" si="13"/>
        <v>10827701.051261581</v>
      </c>
      <c r="AI53" s="52">
        <f t="shared" si="16"/>
        <v>0</v>
      </c>
      <c r="AJ53" s="52">
        <f t="shared" si="17"/>
        <v>0</v>
      </c>
      <c r="AK53" s="52">
        <f t="shared" si="18"/>
        <v>0</v>
      </c>
      <c r="AL53" s="52">
        <f t="shared" si="19"/>
        <v>0</v>
      </c>
      <c r="AM53" s="39"/>
      <c r="AN53" s="30"/>
      <c r="AO53" s="30"/>
      <c r="AP53" s="30"/>
    </row>
    <row r="54" spans="1:42" x14ac:dyDescent="0.25">
      <c r="A54" s="30">
        <v>2019</v>
      </c>
      <c r="B54" s="33">
        <f>w_uf*UF*Parámetros!C41</f>
        <v>838302.88098108873</v>
      </c>
      <c r="C54" s="30">
        <f t="shared" si="1"/>
        <v>40</v>
      </c>
      <c r="D54" s="30">
        <f>((A54=Inputs!$C$12)*(Inputs!$D$12) + (A54=Inputs!$C$13)*(Inputs!$D$13) + (A54=Inputs!$C$14)*(Inputs!$D$14)) *(A54 &gt;= a_afil)*(A54&gt;=2024)</f>
        <v>0</v>
      </c>
      <c r="E54" s="30">
        <v>0</v>
      </c>
      <c r="F54" s="30">
        <f t="shared" si="14"/>
        <v>1</v>
      </c>
      <c r="G54" s="30">
        <f t="shared" si="15"/>
        <v>1</v>
      </c>
      <c r="H54" s="30">
        <v>0.49437671899795532</v>
      </c>
      <c r="I54" s="37">
        <f t="shared" si="4"/>
        <v>0.57999999999999996</v>
      </c>
      <c r="J54" s="37">
        <f t="shared" si="5"/>
        <v>0.57999999999999996</v>
      </c>
      <c r="K54" s="84"/>
      <c r="L54" s="71"/>
      <c r="M54" s="72"/>
      <c r="N54" s="62"/>
      <c r="O54" s="62"/>
      <c r="P54" s="62"/>
      <c r="Q54" s="54">
        <f>MIN($B54,VLOOKUP($A54,Parámetros!$A$2:$J$122,8,FALSE)*UF)*12*I54*$X$2</f>
        <v>583458.80516283773</v>
      </c>
      <c r="R54" s="54">
        <f>MIN($B54,VLOOKUP($A54,Parámetros!$A$2:$J$122,8,FALSE)*UF)*12*J54*$X$2</f>
        <v>583458.80516283773</v>
      </c>
      <c r="S54" s="54">
        <f>MIN($B54,VLOOKUP($A54,Parámetros!$A$2:$J$122,8,FALSE)*UF)*12*I54*$X$2</f>
        <v>583458.80516283773</v>
      </c>
      <c r="T54" s="54">
        <f>MIN($B54,VLOOKUP($A54,Parámetros!$A$2:$J$122,8,FALSE)*UF)*12*J54*$X$2</f>
        <v>583458.80516283773</v>
      </c>
      <c r="U54" s="47"/>
      <c r="V54" s="62"/>
      <c r="W54" s="62"/>
      <c r="X54" s="62"/>
      <c r="Y54" s="62"/>
      <c r="Z54" s="54">
        <f t="shared" si="20"/>
        <v>11314793.317068191</v>
      </c>
      <c r="AA54" s="54">
        <f t="shared" si="21"/>
        <v>11314793.317068191</v>
      </c>
      <c r="AB54" s="54">
        <f t="shared" si="12"/>
        <v>11314793.317068191</v>
      </c>
      <c r="AC54" s="54">
        <f t="shared" si="13"/>
        <v>11314793.317068191</v>
      </c>
      <c r="AI54" s="52">
        <f t="shared" si="16"/>
        <v>0</v>
      </c>
      <c r="AJ54" s="52">
        <f t="shared" si="17"/>
        <v>0</v>
      </c>
      <c r="AK54" s="52">
        <f t="shared" si="18"/>
        <v>0</v>
      </c>
      <c r="AL54" s="52">
        <f t="shared" si="19"/>
        <v>0</v>
      </c>
      <c r="AM54" s="39"/>
      <c r="AN54" s="30"/>
      <c r="AO54" s="30"/>
      <c r="AP54" s="30"/>
    </row>
    <row r="55" spans="1:42" x14ac:dyDescent="0.25">
      <c r="A55" s="30">
        <v>2020</v>
      </c>
      <c r="B55" s="33">
        <f>w_uf*UF*Parámetros!C42</f>
        <v>855481.18804282811</v>
      </c>
      <c r="C55" s="30">
        <f t="shared" si="1"/>
        <v>41</v>
      </c>
      <c r="D55" s="30">
        <f>((A55=Inputs!$C$12)*(Inputs!$D$12) + (A55=Inputs!$C$13)*(Inputs!$D$13) + (A55=Inputs!$C$14)*(Inputs!$D$14)) *(A55 &gt;= a_afil)*(A55&gt;=2024)</f>
        <v>0</v>
      </c>
      <c r="E55" s="30">
        <v>0</v>
      </c>
      <c r="F55" s="30">
        <f t="shared" si="14"/>
        <v>1</v>
      </c>
      <c r="G55" s="30">
        <f t="shared" si="15"/>
        <v>1</v>
      </c>
      <c r="H55" s="30">
        <v>0.97296667098999023</v>
      </c>
      <c r="I55" s="37">
        <f t="shared" si="4"/>
        <v>0.57999999999999996</v>
      </c>
      <c r="J55" s="37">
        <f t="shared" si="5"/>
        <v>0.57999999999999996</v>
      </c>
      <c r="K55" s="84"/>
      <c r="L55" s="71"/>
      <c r="M55" s="72"/>
      <c r="N55" s="62"/>
      <c r="O55" s="62"/>
      <c r="P55" s="62"/>
      <c r="Q55" s="54">
        <f>MIN($B55,VLOOKUP($A55,Parámetros!$A$2:$J$122,8,FALSE)*UF)*12*I55*$X$2</f>
        <v>595414.90687780839</v>
      </c>
      <c r="R55" s="54">
        <f>MIN($B55,VLOOKUP($A55,Parámetros!$A$2:$J$122,8,FALSE)*UF)*12*J55*$X$2</f>
        <v>595414.90687780839</v>
      </c>
      <c r="S55" s="54">
        <f>MIN($B55,VLOOKUP($A55,Parámetros!$A$2:$J$122,8,FALSE)*UF)*12*I55*$X$2</f>
        <v>595414.90687780839</v>
      </c>
      <c r="T55" s="54">
        <f>MIN($B55,VLOOKUP($A55,Parámetros!$A$2:$J$122,8,FALSE)*UF)*12*J55*$X$2</f>
        <v>595414.90687780839</v>
      </c>
      <c r="U55" s="47"/>
      <c r="V55" s="62"/>
      <c r="W55" s="62"/>
      <c r="X55" s="62"/>
      <c r="Y55" s="62"/>
      <c r="Z55" s="54">
        <f t="shared" si="20"/>
        <v>13602901.3041794</v>
      </c>
      <c r="AA55" s="54">
        <f t="shared" si="21"/>
        <v>13602901.3041794</v>
      </c>
      <c r="AB55" s="54">
        <f t="shared" si="12"/>
        <v>13602901.3041794</v>
      </c>
      <c r="AC55" s="54">
        <f t="shared" si="13"/>
        <v>13602901.3041794</v>
      </c>
      <c r="AI55" s="52">
        <f t="shared" si="16"/>
        <v>0</v>
      </c>
      <c r="AJ55" s="52">
        <f t="shared" si="17"/>
        <v>0</v>
      </c>
      <c r="AK55" s="52">
        <f t="shared" si="18"/>
        <v>0</v>
      </c>
      <c r="AL55" s="52">
        <f t="shared" si="19"/>
        <v>0</v>
      </c>
      <c r="AM55" s="39"/>
      <c r="AN55" s="30"/>
      <c r="AO55" s="30"/>
      <c r="AP55" s="30"/>
    </row>
    <row r="56" spans="1:42" x14ac:dyDescent="0.25">
      <c r="A56" s="30">
        <v>2021</v>
      </c>
      <c r="B56" s="33">
        <f>w_uf*UF*Parámetros!C43</f>
        <v>860479.05786741071</v>
      </c>
      <c r="C56" s="30">
        <f t="shared" si="1"/>
        <v>42</v>
      </c>
      <c r="D56" s="30">
        <f>((A56=Inputs!$C$12)*(Inputs!$D$12) + (A56=Inputs!$C$13)*(Inputs!$D$13) + (A56=Inputs!$C$14)*(Inputs!$D$14)) *(A56 &gt;= a_afil)*(A56&gt;=2024)</f>
        <v>0</v>
      </c>
      <c r="E56" s="30">
        <v>0</v>
      </c>
      <c r="F56" s="30">
        <f t="shared" si="14"/>
        <v>1</v>
      </c>
      <c r="G56" s="30">
        <f t="shared" si="15"/>
        <v>1</v>
      </c>
      <c r="H56" s="30">
        <v>0.2177998423576355</v>
      </c>
      <c r="I56" s="37">
        <f t="shared" si="4"/>
        <v>0.57999999999999996</v>
      </c>
      <c r="J56" s="37">
        <f t="shared" si="5"/>
        <v>0.57999999999999996</v>
      </c>
      <c r="K56" s="84"/>
      <c r="L56" s="71"/>
      <c r="M56" s="72"/>
      <c r="N56" s="62"/>
      <c r="O56" s="62"/>
      <c r="P56" s="62"/>
      <c r="Q56" s="54">
        <f>MIN($B56,VLOOKUP($A56,Parámetros!$A$2:$J$122,8,FALSE)*UF)*12*I56*$X$2</f>
        <v>598893.42427571793</v>
      </c>
      <c r="R56" s="54">
        <f>MIN($B56,VLOOKUP($A56,Parámetros!$A$2:$J$122,8,FALSE)*UF)*12*J56*$X$2</f>
        <v>598893.42427571793</v>
      </c>
      <c r="S56" s="54">
        <f>MIN($B56,VLOOKUP($A56,Parámetros!$A$2:$J$122,8,FALSE)*UF)*12*I56*$X$2</f>
        <v>598893.42427571793</v>
      </c>
      <c r="T56" s="54">
        <f>MIN($B56,VLOOKUP($A56,Parámetros!$A$2:$J$122,8,FALSE)*UF)*12*J56*$X$2</f>
        <v>598893.42427571793</v>
      </c>
      <c r="U56" s="47"/>
      <c r="V56" s="62"/>
      <c r="W56" s="62"/>
      <c r="X56" s="62"/>
      <c r="Y56" s="62"/>
      <c r="Z56" s="54">
        <f t="shared" si="20"/>
        <v>14789440.064795667</v>
      </c>
      <c r="AA56" s="54">
        <f t="shared" si="21"/>
        <v>14789440.064795667</v>
      </c>
      <c r="AB56" s="54">
        <f t="shared" si="12"/>
        <v>14789440.064795667</v>
      </c>
      <c r="AC56" s="54">
        <f t="shared" si="13"/>
        <v>14789440.064795667</v>
      </c>
      <c r="AI56" s="52">
        <f t="shared" si="16"/>
        <v>0</v>
      </c>
      <c r="AJ56" s="52">
        <f t="shared" si="17"/>
        <v>0</v>
      </c>
      <c r="AK56" s="52">
        <f t="shared" si="18"/>
        <v>0</v>
      </c>
      <c r="AL56" s="52">
        <f t="shared" si="19"/>
        <v>0</v>
      </c>
      <c r="AM56" s="39"/>
      <c r="AN56" s="30"/>
      <c r="AO56" s="30"/>
      <c r="AP56" s="30"/>
    </row>
    <row r="57" spans="1:42" x14ac:dyDescent="0.25">
      <c r="A57" s="30">
        <v>2022</v>
      </c>
      <c r="B57" s="33">
        <f>w_uf*UF*Parámetros!C44</f>
        <v>869749.058934264</v>
      </c>
      <c r="C57" s="30">
        <f t="shared" si="1"/>
        <v>43</v>
      </c>
      <c r="D57" s="30">
        <f>((A57=Inputs!$C$12)*(Inputs!$D$12) + (A57=Inputs!$C$13)*(Inputs!$D$13) + (A57=Inputs!$C$14)*(Inputs!$D$14)) *(A57 &gt;= a_afil)*(A57&gt;=2024)</f>
        <v>0</v>
      </c>
      <c r="E57" s="30">
        <v>0</v>
      </c>
      <c r="F57" s="30">
        <f t="shared" si="14"/>
        <v>1</v>
      </c>
      <c r="G57" s="30">
        <f t="shared" si="15"/>
        <v>1</v>
      </c>
      <c r="H57" s="30">
        <v>0.37899124622344971</v>
      </c>
      <c r="I57" s="37">
        <f t="shared" si="4"/>
        <v>0.57999999999999996</v>
      </c>
      <c r="J57" s="37">
        <f t="shared" si="5"/>
        <v>0.57999999999999996</v>
      </c>
      <c r="K57" s="84"/>
      <c r="L57" s="71"/>
      <c r="M57" s="72"/>
      <c r="N57" s="62"/>
      <c r="O57" s="62"/>
      <c r="P57" s="62"/>
      <c r="Q57" s="54">
        <f>MIN($B57,VLOOKUP($A57,Parámetros!$A$2:$J$122,8,FALSE)*UF)*12*I57*$X$2</f>
        <v>605345.34501824772</v>
      </c>
      <c r="R57" s="54">
        <f>MIN($B57,VLOOKUP($A57,Parámetros!$A$2:$J$122,8,FALSE)*UF)*12*J57*$X$2</f>
        <v>605345.34501824772</v>
      </c>
      <c r="S57" s="54">
        <f>MIN($B57,VLOOKUP($A57,Parámetros!$A$2:$J$122,8,FALSE)*UF)*12*I57*$X$2</f>
        <v>605345.34501824772</v>
      </c>
      <c r="T57" s="54">
        <f>MIN($B57,VLOOKUP($A57,Parámetros!$A$2:$J$122,8,FALSE)*UF)*12*J57*$X$2</f>
        <v>605345.34501824772</v>
      </c>
      <c r="U57" s="47"/>
      <c r="V57" s="62"/>
      <c r="W57" s="62"/>
      <c r="X57" s="62"/>
      <c r="Y57" s="62"/>
      <c r="Z57" s="54">
        <f t="shared" si="20"/>
        <v>15047233.568291217</v>
      </c>
      <c r="AA57" s="54">
        <f t="shared" si="21"/>
        <v>15047233.568291217</v>
      </c>
      <c r="AB57" s="54">
        <f t="shared" si="12"/>
        <v>15047233.568291217</v>
      </c>
      <c r="AC57" s="54">
        <f t="shared" si="13"/>
        <v>15047233.568291217</v>
      </c>
      <c r="AI57" s="52">
        <f t="shared" si="16"/>
        <v>0</v>
      </c>
      <c r="AJ57" s="52">
        <f t="shared" si="17"/>
        <v>0</v>
      </c>
      <c r="AK57" s="52">
        <f t="shared" si="18"/>
        <v>0</v>
      </c>
      <c r="AL57" s="52">
        <f t="shared" si="19"/>
        <v>0</v>
      </c>
      <c r="AM57" s="39"/>
      <c r="AN57" s="30"/>
      <c r="AO57" s="30"/>
      <c r="AP57" s="30"/>
    </row>
    <row r="58" spans="1:42" s="136" customFormat="1" x14ac:dyDescent="0.25">
      <c r="A58" s="136">
        <v>2023</v>
      </c>
      <c r="B58" s="130">
        <f>w_uf*UF*Parámetros!C45</f>
        <v>849382.71604938281</v>
      </c>
      <c r="C58" s="136">
        <f t="shared" ref="C58:C79" si="22">IF(AND(A58-a_nac&lt;=110,A58-a_nac&gt;0),A58-a_nac,"")</f>
        <v>44</v>
      </c>
      <c r="D58" s="125">
        <f>((A58=Inputs!$C$12)*(Inputs!$D$12) + (A58=Inputs!$C$13)*(Inputs!$D$13) + (A58=Inputs!$C$14)*(Inputs!$D$14)) *(A58 &gt;= a_afil)*(A58&gt;=2024)</f>
        <v>0</v>
      </c>
      <c r="E58" s="125">
        <v>0</v>
      </c>
      <c r="F58" s="125">
        <f t="shared" si="14"/>
        <v>1</v>
      </c>
      <c r="G58" s="125">
        <f t="shared" si="15"/>
        <v>1</v>
      </c>
      <c r="H58" s="125">
        <v>0.39584428071975708</v>
      </c>
      <c r="I58" s="127">
        <f t="shared" si="4"/>
        <v>0.57999999999999996</v>
      </c>
      <c r="J58" s="127">
        <f t="shared" si="5"/>
        <v>0.57999999999999996</v>
      </c>
      <c r="K58" s="125"/>
      <c r="L58" s="125"/>
      <c r="M58" s="143"/>
      <c r="N58" s="144"/>
      <c r="O58" s="144"/>
      <c r="P58" s="144"/>
      <c r="Q58" s="142">
        <f>MIN($B58,VLOOKUP($A58,Parámetros!$A$2:$J$122,8,FALSE)*UF)*12*I58*$X$2</f>
        <v>591170.37037037034</v>
      </c>
      <c r="R58" s="142">
        <f>MIN($B58,VLOOKUP($A58,Parámetros!$A$2:$J$122,8,FALSE)*UF)*12*J58*$X$2</f>
        <v>591170.37037037034</v>
      </c>
      <c r="S58" s="142">
        <f>MIN($B58,VLOOKUP($A58,Parámetros!$A$2:$J$122,8,FALSE)*UF)*12*I58*$X$2</f>
        <v>591170.37037037034</v>
      </c>
      <c r="T58" s="142">
        <f>MIN($B58,VLOOKUP($A58,Parámetros!$A$2:$J$122,8,FALSE)*UF)*12*J58*$X$2</f>
        <v>591170.37037037034</v>
      </c>
      <c r="U58" s="137"/>
      <c r="V58" s="138"/>
      <c r="W58" s="138"/>
      <c r="X58" s="138"/>
      <c r="Y58" s="138"/>
      <c r="Z58" s="139">
        <f t="shared" si="20"/>
        <v>14252553.727021966</v>
      </c>
      <c r="AA58" s="139">
        <f t="shared" si="21"/>
        <v>14252553.727021966</v>
      </c>
      <c r="AB58" s="139">
        <f t="shared" si="12"/>
        <v>14252553.727021966</v>
      </c>
      <c r="AC58" s="139">
        <f t="shared" si="13"/>
        <v>14252553.727021966</v>
      </c>
      <c r="AD58" s="137"/>
      <c r="AE58" s="137"/>
      <c r="AF58" s="137"/>
      <c r="AG58" s="137"/>
      <c r="AH58" s="137"/>
      <c r="AI58" s="140">
        <f t="shared" si="16"/>
        <v>0</v>
      </c>
      <c r="AJ58" s="140">
        <f t="shared" si="17"/>
        <v>0</v>
      </c>
      <c r="AK58" s="140">
        <f t="shared" si="18"/>
        <v>0</v>
      </c>
      <c r="AL58" s="140">
        <f t="shared" si="19"/>
        <v>0</v>
      </c>
      <c r="AM58" s="141"/>
    </row>
    <row r="59" spans="1:42" s="69" customFormat="1" x14ac:dyDescent="0.25">
      <c r="A59" s="69">
        <v>2024</v>
      </c>
      <c r="B59" s="92">
        <f>w_uf*UF*Parámetros!C46</f>
        <v>860000</v>
      </c>
      <c r="C59" s="69">
        <f>IF(AND(A59-a_nac&lt;=110,A59-a_nac&gt;0),A59-a_nac,"")</f>
        <v>45</v>
      </c>
      <c r="D59" s="69">
        <f>((A59=Inputs!$C$12)*(Inputs!$D$12) + (A59=Inputs!$C$13)*(Inputs!$D$13) + (A59=Inputs!$C$14)*(Inputs!$D$14)) *(A59 &gt;= a_afil)*(A59&gt;=2024)</f>
        <v>0</v>
      </c>
      <c r="E59" s="69">
        <f>MIN(1,(A59=Inputs!$C$19)*Inputs!$D$19+(A59=Inputs!$C$20)*Inputs!$D$20+(A59=Inputs!$C$21)*Inputs!$D$21 * (A59 &gt;= a_afil))</f>
        <v>0</v>
      </c>
      <c r="F59" s="69">
        <f t="shared" si="14"/>
        <v>1</v>
      </c>
      <c r="G59" s="69">
        <f t="shared" si="15"/>
        <v>1</v>
      </c>
      <c r="H59" s="69">
        <v>0.28150343894958496</v>
      </c>
      <c r="I59" s="67">
        <f t="shared" ref="I59:I89" si="23">IF(F59=1,+dens_cot,0)</f>
        <v>0.57999999999999996</v>
      </c>
      <c r="J59" s="67">
        <f t="shared" ref="J59:J89" si="24">IF(G59=1,+dens_mujer,0)</f>
        <v>0.57999999999999996</v>
      </c>
      <c r="K59" s="65">
        <f>1*OR(Inputs!$D$17=$A59,Inputs!$E$17=$A59)*($E59=0)*(F59=1)</f>
        <v>0</v>
      </c>
      <c r="L59" s="65">
        <f>1*OR(Inputs!$D$17=$A59,Inputs!$E$17=$A59)*($E59=0)*(G59=1)</f>
        <v>0</v>
      </c>
      <c r="M59" s="90"/>
      <c r="N59" s="91"/>
      <c r="O59" s="91"/>
      <c r="P59" s="91"/>
      <c r="Q59" s="68">
        <f>MIN($B59,VLOOKUP($A59,Parámetros!$A$2:$J$122,8,FALSE)*UF)*12*I59*$X$2</f>
        <v>598560</v>
      </c>
      <c r="R59" s="68">
        <f>MIN($B59,VLOOKUP($A59,Parámetros!$A$2:$J$122,8,FALSE)*UF)*12*J59*$X$2</f>
        <v>598560</v>
      </c>
      <c r="S59" s="91">
        <f>MIN($B59,VLOOKUP($A58,Parámetros!$A$2:$J$122,10,FALSE)*UF)*12*I59*($X$2+1%)</f>
        <v>658416</v>
      </c>
      <c r="T59" s="91">
        <f>MIN($B59,VLOOKUP($A58,Parámetros!$A$2:$J$122,10,FALSE)*UF)*12*J59*($X$2+1%)</f>
        <v>658416</v>
      </c>
      <c r="U59" s="89"/>
      <c r="V59" s="89"/>
      <c r="W59" s="89"/>
      <c r="X59" s="89"/>
      <c r="Y59" s="89"/>
      <c r="Z59" s="70">
        <f t="shared" si="20"/>
        <v>15332850.042995309</v>
      </c>
      <c r="AA59" s="70">
        <f t="shared" si="21"/>
        <v>15332850.042995309</v>
      </c>
      <c r="AB59" s="179">
        <f>S59+IF(F58,AB58*(1+_xlfn.XLOOKUP(MIN(2024,$A58),agnos_rent,rent_base)),0)</f>
        <v>15392706.042995309</v>
      </c>
      <c r="AC59" s="179">
        <f>T59+IF(G58,AC58*(1+_xlfn.XLOOKUP(MIN(2024,$A58),agnos_rent,rent_base)),0)</f>
        <v>15392706.042995309</v>
      </c>
      <c r="AD59" s="92">
        <f>D59*mmater*Parámetros!$G46*$W$14</f>
        <v>0</v>
      </c>
      <c r="AE59" s="92">
        <f>E59*12*Parámetros!$F46*$W$14</f>
        <v>0</v>
      </c>
      <c r="AF59" s="92">
        <f>IFERROR(K59*$B59*VLOOKUP(n_mes_laguna,Parámetros!$Q$2:$S$42,3,FALSE)*$N$14,0)</f>
        <v>0</v>
      </c>
      <c r="AG59" s="92">
        <f>IFERROR(L59*$B59*VLOOKUP(n_mes_laguna,Parámetros!$Q$2:$S$42,3,FALSE)*$N$14,0)</f>
        <v>0</v>
      </c>
      <c r="AI59" s="74">
        <f t="shared" si="16"/>
        <v>0</v>
      </c>
      <c r="AJ59" s="74">
        <f t="shared" si="17"/>
        <v>0</v>
      </c>
      <c r="AK59" s="267">
        <f t="shared" si="18"/>
        <v>0</v>
      </c>
      <c r="AL59" s="267">
        <f t="shared" si="19"/>
        <v>0</v>
      </c>
      <c r="AM59" s="93"/>
    </row>
    <row r="60" spans="1:42" x14ac:dyDescent="0.25">
      <c r="A60" s="30">
        <v>2025</v>
      </c>
      <c r="B60" s="33">
        <f>w_uf*UF*Parámetros!C47</f>
        <v>870750</v>
      </c>
      <c r="C60" s="30">
        <f t="shared" si="22"/>
        <v>46</v>
      </c>
      <c r="D60" s="30">
        <f>((A60=Inputs!$C$12)*(Inputs!$D$12) + (A60=Inputs!$C$13)*(Inputs!$D$13) + (A60=Inputs!$C$14)*(Inputs!$D$14)) *(A60 &gt;= a_afil)*(A60&gt;=2024)</f>
        <v>0</v>
      </c>
      <c r="E60" s="30">
        <f>MIN(1,(A60=Inputs!$C$19)*Inputs!$D$19+(A60=Inputs!$C$20)*Inputs!$D$20+(A60=Inputs!$C$21)*Inputs!$D$21*(A60 &gt;= a_afil))</f>
        <v>0</v>
      </c>
      <c r="F60" s="30">
        <f t="shared" si="14"/>
        <v>1</v>
      </c>
      <c r="G60" s="30">
        <f t="shared" si="15"/>
        <v>1</v>
      </c>
      <c r="H60" s="30">
        <v>0.50337117910385132</v>
      </c>
      <c r="I60" s="37">
        <f t="shared" si="23"/>
        <v>0.57999999999999996</v>
      </c>
      <c r="J60" s="37">
        <f t="shared" si="24"/>
        <v>0.57999999999999996</v>
      </c>
      <c r="K60" s="30">
        <f>1*OR(Inputs!$D$17=$A60,Inputs!$E$17=$A60)*($E60=0)*(F60=1)</f>
        <v>0</v>
      </c>
      <c r="L60" s="30">
        <f>1*OR(Inputs!$D$17=$A60,Inputs!$E$17=$A60)*($E60=0)*(G60=1)</f>
        <v>0</v>
      </c>
      <c r="M60" s="75"/>
      <c r="N60" s="76"/>
      <c r="O60" s="76"/>
      <c r="P60" s="76"/>
      <c r="Q60" s="68">
        <f>MIN($B60,VLOOKUP($A60,Parámetros!$A$2:$J$122,8,FALSE)*UF)*12*I60*$X$2</f>
        <v>606042</v>
      </c>
      <c r="R60" s="68">
        <f>MIN($B60,VLOOKUP($A60,Parámetros!$A$2:$J$122,8,FALSE)*UF)*12*J60*$X$2</f>
        <v>606042</v>
      </c>
      <c r="S60" s="76">
        <f>MIN($B60,VLOOKUP($A60,Parámetros!$A$2:$J$122,10,FALSE)*UF)*12*I60*($X$2+2%)</f>
        <v>727250.4</v>
      </c>
      <c r="T60" s="76">
        <f>MIN($B60,VLOOKUP($A60,Parámetros!$A$2:$J$122,10,FALSE)*UF)*12*J60*($X$2+2%)</f>
        <v>727250.4</v>
      </c>
      <c r="U60" s="38"/>
      <c r="V60" s="38"/>
      <c r="W60" s="38"/>
      <c r="X60" s="38"/>
      <c r="Y60" s="38"/>
      <c r="Z60" s="54">
        <f t="shared" si="20"/>
        <v>16457142.374448551</v>
      </c>
      <c r="AA60" s="54">
        <f t="shared" si="21"/>
        <v>16457142.374448551</v>
      </c>
      <c r="AB60" s="76">
        <f>S60+IF(F59,AB59*(1+_xlfn.XLOOKUP(MIN(2024,$A59),agnos_rent,rent_base)),0)</f>
        <v>16640229.907248553</v>
      </c>
      <c r="AC60" s="76">
        <f>T60+IF(G59,AC59*(1+_xlfn.XLOOKUP(MIN(2024,$A59),agnos_rent,rent_base)),0)</f>
        <v>16640229.907248553</v>
      </c>
      <c r="AD60" s="33">
        <f>D60*mmater*Parámetros!$G47*$W$14+AD59*(1+i_noc)</f>
        <v>0</v>
      </c>
      <c r="AE60" s="33">
        <f>E60*12*Parámetros!$F47*$W$14+AE59*(1+i_noc)</f>
        <v>0</v>
      </c>
      <c r="AF60" s="33">
        <f>IFERROR(K60*$B60*VLOOKUP(n_mes_laguna,Parámetros!$Q$2:$S$42,3,FALSE)*$N$14,0)+AF59*(1+i_noc)</f>
        <v>0</v>
      </c>
      <c r="AG60" s="33">
        <f>IFERROR(L60*$B60*VLOOKUP(n_mes_laguna,Parámetros!$Q$2:$S$42,3,FALSE)*$N$14,0)+AG59*(1+i_noc)</f>
        <v>0</v>
      </c>
      <c r="AI60" s="74">
        <f t="shared" si="16"/>
        <v>0</v>
      </c>
      <c r="AJ60" s="74">
        <f t="shared" si="17"/>
        <v>0</v>
      </c>
      <c r="AK60" s="267">
        <f t="shared" si="18"/>
        <v>0</v>
      </c>
      <c r="AL60" s="267">
        <f t="shared" si="19"/>
        <v>0</v>
      </c>
      <c r="AM60" s="39"/>
      <c r="AN60" s="30"/>
      <c r="AO60" s="30"/>
      <c r="AP60" s="30"/>
    </row>
    <row r="61" spans="1:42" s="47" customFormat="1" x14ac:dyDescent="0.25">
      <c r="A61" s="47">
        <v>2026</v>
      </c>
      <c r="B61" s="45">
        <f>w_uf*UF*Parámetros!C48</f>
        <v>881634.375</v>
      </c>
      <c r="C61" s="47">
        <f t="shared" si="22"/>
        <v>47</v>
      </c>
      <c r="D61" s="47">
        <f>((A61=Inputs!$C$12)*(Inputs!$D$12) + (A61=Inputs!$C$13)*(Inputs!$D$13) + (A61=Inputs!$C$14)*(Inputs!$D$14)) *(A61 &gt;= a_afil)*(A61&gt;=2024)</f>
        <v>0</v>
      </c>
      <c r="E61" s="47">
        <f>MIN(1,(A61=Inputs!$C$19)*Inputs!$D$19+(A61=Inputs!$C$20)*Inputs!$D$20+(A61=Inputs!$C$21)*Inputs!$D$21*(A61 &gt;= a_afil))</f>
        <v>0</v>
      </c>
      <c r="F61" s="47">
        <f t="shared" si="14"/>
        <v>1</v>
      </c>
      <c r="G61" s="47">
        <f t="shared" si="15"/>
        <v>1</v>
      </c>
      <c r="H61" s="47">
        <v>0.13873231410980225</v>
      </c>
      <c r="I61" s="37">
        <f t="shared" si="23"/>
        <v>0.57999999999999996</v>
      </c>
      <c r="J61" s="37">
        <f t="shared" si="24"/>
        <v>0.57999999999999996</v>
      </c>
      <c r="K61" s="30">
        <f>1*OR(Inputs!$D$17=$A61,Inputs!$E$17=$A61)*($E61=0)*(F61=1)</f>
        <v>0</v>
      </c>
      <c r="L61" s="30">
        <f>1*OR(Inputs!$D$17=$A61,Inputs!$E$17=$A61)*($E61=0)*(G61=1)</f>
        <v>0</v>
      </c>
      <c r="M61" s="75"/>
      <c r="N61" s="76"/>
      <c r="O61" s="76"/>
      <c r="P61" s="76"/>
      <c r="Q61" s="68">
        <f>MIN($B61,VLOOKUP($A61,Parámetros!$A$2:$J$122,8,FALSE)*UF)*12*I61*$X$2</f>
        <v>613617.52500000002</v>
      </c>
      <c r="R61" s="68">
        <f>MIN($B61,VLOOKUP($A61,Parámetros!$A$2:$J$122,8,FALSE)*UF)*12*J61*$X$2</f>
        <v>613617.52500000002</v>
      </c>
      <c r="S61" s="76">
        <f>MIN($B61,VLOOKUP($A61,Parámetros!$A$2:$J$122,10,FALSE)*UF)*12*I61*($X$2+3.5%)</f>
        <v>828383.65875000006</v>
      </c>
      <c r="T61" s="76">
        <f>MIN($B61,VLOOKUP($A61,Parámetros!$A$2:$J$122,10,FALSE)*UF)*12*J61*($X$2+3.5%)</f>
        <v>828383.65875000006</v>
      </c>
      <c r="U61" s="44"/>
      <c r="V61" s="38"/>
      <c r="W61" s="38"/>
      <c r="X61" s="38"/>
      <c r="Y61" s="38"/>
      <c r="Z61" s="54">
        <f t="shared" si="20"/>
        <v>17627011.311704911</v>
      </c>
      <c r="AA61" s="54">
        <f t="shared" si="21"/>
        <v>17627011.311704911</v>
      </c>
      <c r="AB61" s="68">
        <f t="shared" ref="AB61:AB92" si="25">F60*AB60*(1+_xlfn.XLOOKUP(MIN(2024,$A60),agnos_rent,rent_base))*(1-$X$6)+S61</f>
        <v>18009033.91967557</v>
      </c>
      <c r="AC61" s="68">
        <f t="shared" ref="AC61:AC92" si="26">G60*AC60*(1+_xlfn.XLOOKUP(MIN(2024,$A60),agnos_rent,rent_base))*(1-$X$6)+T61</f>
        <v>18009033.91967557</v>
      </c>
      <c r="AD61" s="33">
        <f>D61*mmater*Parámetros!$G48*$W$14+AD60*(1+i_noc)</f>
        <v>0</v>
      </c>
      <c r="AE61" s="33">
        <f>E61*12*Parámetros!$F48*$W$14+AE60*(1+i_noc)</f>
        <v>0</v>
      </c>
      <c r="AF61" s="45">
        <f>IFERROR(K61*$B61*VLOOKUP(n_mes_laguna,Parámetros!$Q$2:$S$42,3,FALSE)*$N$14,0)+AF60*(1+i_noc)</f>
        <v>0</v>
      </c>
      <c r="AG61" s="45">
        <f>IFERROR(L61*$B61*VLOOKUP(n_mes_laguna,Parámetros!$Q$2:$S$42,3,FALSE)*$N$14,0)+AG60*(1+i_noc)</f>
        <v>0</v>
      </c>
      <c r="AI61" s="74">
        <f t="shared" si="16"/>
        <v>0</v>
      </c>
      <c r="AJ61" s="74">
        <f t="shared" si="17"/>
        <v>0</v>
      </c>
      <c r="AK61" s="267">
        <f t="shared" si="18"/>
        <v>0</v>
      </c>
      <c r="AL61" s="267">
        <f t="shared" si="19"/>
        <v>0</v>
      </c>
      <c r="AM61" s="48"/>
    </row>
    <row r="62" spans="1:42" x14ac:dyDescent="0.25">
      <c r="A62" s="30">
        <v>2027</v>
      </c>
      <c r="B62" s="33">
        <f>w_uf*UF*Parámetros!C49</f>
        <v>892654.80468749988</v>
      </c>
      <c r="C62" s="30">
        <f t="shared" si="22"/>
        <v>48</v>
      </c>
      <c r="D62" s="30">
        <f>((A62=Inputs!$C$12)*(Inputs!$D$12) + (A62=Inputs!$C$13)*(Inputs!$D$13) + (A62=Inputs!$C$14)*(Inputs!$D$14)) *(A62 &gt;= a_afil)*(A62&gt;=2024)</f>
        <v>0</v>
      </c>
      <c r="E62" s="30">
        <f>MIN(1,(A62=Inputs!$C$19)*Inputs!$D$19+(A62=Inputs!$C$20)*Inputs!$D$20+(A62=Inputs!$C$21)*Inputs!$D$21*(A62 &gt;= a_afil))</f>
        <v>0</v>
      </c>
      <c r="F62" s="30">
        <f t="shared" si="14"/>
        <v>1</v>
      </c>
      <c r="G62" s="30">
        <f t="shared" si="15"/>
        <v>1</v>
      </c>
      <c r="H62" s="30">
        <v>0.51725584268569946</v>
      </c>
      <c r="I62" s="37">
        <f t="shared" si="23"/>
        <v>0.57999999999999996</v>
      </c>
      <c r="J62" s="37">
        <f t="shared" si="24"/>
        <v>0.57999999999999996</v>
      </c>
      <c r="K62" s="30">
        <f>1*OR(Inputs!$D$17=$A62,Inputs!$E$17=$A62)*($E62=0)*(F62=1)</f>
        <v>0</v>
      </c>
      <c r="L62" s="30">
        <f>1*OR(Inputs!$D$17=$A62,Inputs!$E$17=$A62)*($E62=0)*(G62=1)</f>
        <v>0</v>
      </c>
      <c r="M62" s="75"/>
      <c r="N62" s="76"/>
      <c r="O62" s="76"/>
      <c r="P62" s="76"/>
      <c r="Q62" s="68">
        <f>MIN($B62,VLOOKUP($A62,Parámetros!$A$2:$J$122,8,FALSE)*UF)*12*I62*$X$2</f>
        <v>621287.74406249996</v>
      </c>
      <c r="R62" s="68">
        <f>MIN($B62,VLOOKUP($A62,Parámetros!$A$2:$J$122,8,FALSE)*UF)*12*J62*$X$2</f>
        <v>621287.74406249996</v>
      </c>
      <c r="S62" s="76">
        <f>MIN($B62,VLOOKUP($A62,Parámetros!$A$2:$J$122,10,FALSE)*UF)*12*I62*($X$2+4.5%)</f>
        <v>900867.22889062495</v>
      </c>
      <c r="T62" s="76">
        <f>MIN($B62,VLOOKUP($A62,Parámetros!$A$2:$J$122,10,FALSE)*UF)*12*J62*($X$2+4.5%)</f>
        <v>900867.22889062495</v>
      </c>
      <c r="U62" s="38"/>
      <c r="V62" s="38"/>
      <c r="W62" s="38"/>
      <c r="X62" s="38"/>
      <c r="Y62" s="38"/>
      <c r="Z62" s="54">
        <f t="shared" si="20"/>
        <v>18844092.038103037</v>
      </c>
      <c r="AA62" s="54">
        <f t="shared" si="21"/>
        <v>18844092.038103037</v>
      </c>
      <c r="AB62" s="55">
        <f t="shared" si="25"/>
        <v>19494775.788790543</v>
      </c>
      <c r="AC62" s="55">
        <f t="shared" si="26"/>
        <v>19494775.788790543</v>
      </c>
      <c r="AD62" s="33">
        <f>D62*mmater*Parámetros!$G49*$W$14+AD61*(1+i_noc)</f>
        <v>0</v>
      </c>
      <c r="AE62" s="33">
        <f>E62*12*Parámetros!$F49*$W$14+AE61*(1+i_noc)</f>
        <v>0</v>
      </c>
      <c r="AF62" s="33">
        <f>IFERROR(K62*$B62*VLOOKUP(n_mes_laguna,Parámetros!$Q$2:$S$42,3,FALSE)*$N$14,0)+AF61*(1+i_noc)</f>
        <v>0</v>
      </c>
      <c r="AG62" s="33">
        <f>IFERROR(L62*$B62*VLOOKUP(n_mes_laguna,Parámetros!$Q$2:$S$42,3,FALSE)*$N$14,0)+AG61*(1+i_noc)</f>
        <v>0</v>
      </c>
      <c r="AI62" s="74">
        <f t="shared" si="16"/>
        <v>0</v>
      </c>
      <c r="AJ62" s="74">
        <f t="shared" si="17"/>
        <v>0</v>
      </c>
      <c r="AK62" s="267">
        <f t="shared" si="18"/>
        <v>0</v>
      </c>
      <c r="AL62" s="267">
        <f t="shared" si="19"/>
        <v>0</v>
      </c>
      <c r="AM62" s="39"/>
      <c r="AN62" s="30"/>
      <c r="AO62" s="30"/>
      <c r="AP62" s="30"/>
    </row>
    <row r="63" spans="1:42" x14ac:dyDescent="0.25">
      <c r="A63" s="30">
        <v>2028</v>
      </c>
      <c r="B63" s="33">
        <f>w_uf*UF*Parámetros!C50</f>
        <v>903812.98974609352</v>
      </c>
      <c r="C63" s="30">
        <f t="shared" si="22"/>
        <v>49</v>
      </c>
      <c r="D63" s="30">
        <f>((A63=Inputs!$C$12)*(Inputs!$D$12) + (A63=Inputs!$C$13)*(Inputs!$D$13) + (A63=Inputs!$C$14)*(Inputs!$D$14)) *(A63 &gt;= a_afil)*(A63&gt;=2024)</f>
        <v>0</v>
      </c>
      <c r="E63" s="30">
        <f>MIN(1,(A63=Inputs!$C$19)*Inputs!$D$19+(A63=Inputs!$C$20)*Inputs!$D$20+(A63=Inputs!$C$21)*Inputs!$D$21*(A63 &gt;= a_afil))</f>
        <v>0</v>
      </c>
      <c r="F63" s="30">
        <f t="shared" si="14"/>
        <v>1</v>
      </c>
      <c r="G63" s="30">
        <f t="shared" si="15"/>
        <v>1</v>
      </c>
      <c r="H63" s="30">
        <v>0.96536445617675781</v>
      </c>
      <c r="I63" s="37">
        <f t="shared" si="23"/>
        <v>0.57999999999999996</v>
      </c>
      <c r="J63" s="37">
        <f t="shared" si="24"/>
        <v>0.57999999999999996</v>
      </c>
      <c r="K63" s="30">
        <f>1*OR(Inputs!$D$17=$A63,Inputs!$E$17=$A63)*($E63=0)*(F63=1)</f>
        <v>1</v>
      </c>
      <c r="L63" s="30">
        <f>1*OR(Inputs!$D$17=$A63,Inputs!$E$17=$A63)*($E63=0)*(G63=1)</f>
        <v>1</v>
      </c>
      <c r="M63" s="75"/>
      <c r="N63" s="76"/>
      <c r="O63" s="76"/>
      <c r="P63" s="76"/>
      <c r="Q63" s="68">
        <f>MIN($B63,VLOOKUP($A63,Parámetros!$A$2:$J$122,8,FALSE)*UF)*12*I63*$X$2</f>
        <v>629053.84086328105</v>
      </c>
      <c r="R63" s="68">
        <f>MIN($B63,VLOOKUP($A63,Parámetros!$A$2:$J$122,8,FALSE)*UF)*12*J63*$X$2</f>
        <v>629053.84086328105</v>
      </c>
      <c r="S63" s="76">
        <f>MIN($B63,VLOOKUP($A63,Parámetros!$A$2:$J$122,10,FALSE)*UF)*12*I63*($X$2+5.5%)</f>
        <v>975033.45333808556</v>
      </c>
      <c r="T63" s="76">
        <f>MIN($B63,VLOOKUP($A63,Parámetros!$A$2:$J$122,10,FALSE)*UF)*12*J63*($X$2+5.5%)</f>
        <v>975033.45333808556</v>
      </c>
      <c r="U63" s="38"/>
      <c r="V63" s="38"/>
      <c r="W63" s="38"/>
      <c r="X63" s="38"/>
      <c r="Y63" s="38"/>
      <c r="Z63" s="54">
        <f t="shared" si="20"/>
        <v>20110076.189854201</v>
      </c>
      <c r="AA63" s="54">
        <f t="shared" si="21"/>
        <v>20110076.189854201</v>
      </c>
      <c r="AB63" s="55">
        <f t="shared" si="25"/>
        <v>21102935.928800371</v>
      </c>
      <c r="AC63" s="55">
        <f t="shared" si="26"/>
        <v>21102935.928800371</v>
      </c>
      <c r="AD63" s="33">
        <f>D63*mmater*Parámetros!$G50*$W$14+AD62*(1+i_noc)</f>
        <v>0</v>
      </c>
      <c r="AE63" s="33">
        <f>E63*12*Parámetros!$F50*$W$14+AE62*(1+i_noc)</f>
        <v>0</v>
      </c>
      <c r="AF63" s="33">
        <f>IFERROR(K63*$B63*VLOOKUP(n_mes_laguna,Parámetros!$Q$2:$S$42,3,FALSE)*$N$14,0)+AF62*(1+i_noc)</f>
        <v>0</v>
      </c>
      <c r="AG63" s="33">
        <f>IFERROR(L63*$B63*VLOOKUP(n_mes_laguna,Parámetros!$Q$2:$S$42,3,FALSE)*$N$14,0)+AG62*(1+i_noc)</f>
        <v>0</v>
      </c>
      <c r="AI63" s="74">
        <f t="shared" si="16"/>
        <v>0</v>
      </c>
      <c r="AJ63" s="74">
        <f t="shared" si="17"/>
        <v>0</v>
      </c>
      <c r="AK63" s="267">
        <f t="shared" si="18"/>
        <v>0</v>
      </c>
      <c r="AL63" s="267">
        <f t="shared" si="19"/>
        <v>0</v>
      </c>
      <c r="AM63" s="39"/>
      <c r="AN63" s="30"/>
      <c r="AO63" s="30"/>
      <c r="AP63" s="30"/>
    </row>
    <row r="64" spans="1:42" x14ac:dyDescent="0.25">
      <c r="A64" s="30">
        <v>2029</v>
      </c>
      <c r="B64" s="33">
        <f>w_uf*UF*Parámetros!C51</f>
        <v>915110.65211791953</v>
      </c>
      <c r="C64" s="30">
        <f t="shared" si="22"/>
        <v>50</v>
      </c>
      <c r="D64" s="30">
        <f>((A64=Inputs!$C$12)*(Inputs!$D$12) + (A64=Inputs!$C$13)*(Inputs!$D$13) + (A64=Inputs!$C$14)*(Inputs!$D$14)) *(A64 &gt;= a_afil)*(A64&gt;=2024)</f>
        <v>0</v>
      </c>
      <c r="E64" s="30">
        <f>MIN(1,(A64=Inputs!$C$19)*Inputs!$D$19+(A64=Inputs!$C$20)*Inputs!$D$20+(A64=Inputs!$C$21)*Inputs!$D$21*(A64 &gt;= a_afil))</f>
        <v>0</v>
      </c>
      <c r="F64" s="30">
        <f t="shared" si="14"/>
        <v>1</v>
      </c>
      <c r="G64" s="30">
        <f t="shared" si="15"/>
        <v>1</v>
      </c>
      <c r="H64" s="30">
        <v>0.55750101804733276</v>
      </c>
      <c r="I64" s="37">
        <f t="shared" si="23"/>
        <v>0.57999999999999996</v>
      </c>
      <c r="J64" s="37">
        <f t="shared" si="24"/>
        <v>0.57999999999999996</v>
      </c>
      <c r="K64" s="30">
        <f>1*OR(Inputs!$D$17=$A64,Inputs!$E$17=$A64)*($E64=0)*(F64=1)</f>
        <v>0</v>
      </c>
      <c r="L64" s="30">
        <f>1*OR(Inputs!$D$17=$A64,Inputs!$E$17=$A64)*($E64=0)*(G64=1)</f>
        <v>0</v>
      </c>
      <c r="M64" s="73"/>
      <c r="N64" s="55"/>
      <c r="O64" s="55"/>
      <c r="P64" s="55"/>
      <c r="Q64" s="68">
        <f>MIN($B64,VLOOKUP($A64,Parámetros!$A$2:$J$122,8,FALSE)*UF)*12*I64*$X$2</f>
        <v>636917.013874072</v>
      </c>
      <c r="R64" s="68">
        <f>MIN($B64,VLOOKUP($A64,Parámetros!$A$2:$J$122,8,FALSE)*UF)*12*J64*$X$2</f>
        <v>636917.013874072</v>
      </c>
      <c r="S64" s="55">
        <f>MIN($B64,VLOOKUP($A64,Parámetros!$A$2:$J$122,10,FALSE)*UF)*12*I64*$X$3</f>
        <v>1050913.0728922186</v>
      </c>
      <c r="T64" s="55">
        <f>MIN($B64,VLOOKUP($A64,Parámetros!$A$2:$J$122,10,FALSE)*UF)*12*J64*$X$3</f>
        <v>1050913.0728922186</v>
      </c>
      <c r="U64" s="38"/>
      <c r="V64" s="38"/>
      <c r="W64" s="38"/>
      <c r="X64" s="38"/>
      <c r="Y64" s="38"/>
      <c r="Z64" s="54">
        <f t="shared" si="20"/>
        <v>21426713.778945345</v>
      </c>
      <c r="AA64" s="54">
        <f t="shared" si="21"/>
        <v>21426713.778945345</v>
      </c>
      <c r="AB64" s="55">
        <f t="shared" si="25"/>
        <v>22839203.480677158</v>
      </c>
      <c r="AC64" s="55">
        <f t="shared" si="26"/>
        <v>22839203.480677158</v>
      </c>
      <c r="AD64" s="33">
        <f>D64*mmater*Parámetros!$G51*$W$14+AD63*(1+i_noc)</f>
        <v>0</v>
      </c>
      <c r="AE64" s="33">
        <f>E64*12*Parámetros!$F51*$W$14+AE63*(1+i_noc)</f>
        <v>0</v>
      </c>
      <c r="AF64" s="33">
        <f>IFERROR(K64*$B64*VLOOKUP(n_mes_laguna,Parámetros!$Q$2:$S$42,3,FALSE)*$N$14,0)+AF63*(1+i_noc)</f>
        <v>0</v>
      </c>
      <c r="AG64" s="33">
        <f>IFERROR(L64*$B64*VLOOKUP(n_mes_laguna,Parámetros!$Q$2:$S$42,3,FALSE)*$N$14,0)+AG63*(1+i_noc)</f>
        <v>0</v>
      </c>
      <c r="AI64" s="74">
        <f t="shared" si="16"/>
        <v>0</v>
      </c>
      <c r="AJ64" s="74">
        <f t="shared" si="17"/>
        <v>0</v>
      </c>
      <c r="AK64" s="267">
        <f t="shared" si="18"/>
        <v>0</v>
      </c>
      <c r="AL64" s="267">
        <f t="shared" si="19"/>
        <v>0</v>
      </c>
      <c r="AM64" s="39"/>
      <c r="AN64" s="30"/>
      <c r="AO64" s="30"/>
      <c r="AP64" s="30"/>
    </row>
    <row r="65" spans="1:42" x14ac:dyDescent="0.25">
      <c r="A65" s="30">
        <v>2030</v>
      </c>
      <c r="B65" s="33">
        <f>w_uf*UF*Parámetros!C52</f>
        <v>926549.53526939359</v>
      </c>
      <c r="C65" s="30">
        <f t="shared" si="22"/>
        <v>51</v>
      </c>
      <c r="D65" s="30">
        <f>((A65=Inputs!$C$12)*(Inputs!$D$12) + (A65=Inputs!$C$13)*(Inputs!$D$13) + (A65=Inputs!$C$14)*(Inputs!$D$14)) *(A65 &gt;= a_afil)*(A65&gt;=2024)</f>
        <v>0</v>
      </c>
      <c r="E65" s="30">
        <f>MIN(1,(A65=Inputs!$C$19)*Inputs!$D$19+(A65=Inputs!$C$20)*Inputs!$D$20+(A65=Inputs!$C$21)*Inputs!$D$21*(A65 &gt;= a_afil))</f>
        <v>0</v>
      </c>
      <c r="F65" s="30">
        <f t="shared" si="14"/>
        <v>1</v>
      </c>
      <c r="G65" s="30">
        <f t="shared" si="15"/>
        <v>1</v>
      </c>
      <c r="H65" s="30">
        <v>0.90920412540435791</v>
      </c>
      <c r="I65" s="37">
        <f t="shared" si="23"/>
        <v>0.57999999999999996</v>
      </c>
      <c r="J65" s="37">
        <f t="shared" si="24"/>
        <v>0.57999999999999996</v>
      </c>
      <c r="K65" s="30">
        <f>1*OR(Inputs!$D$17=$A65,Inputs!$E$17=$A65)*($E65=0)*(F65=1)</f>
        <v>0</v>
      </c>
      <c r="L65" s="30">
        <f>1*OR(Inputs!$D$17=$A65,Inputs!$E$17=$A65)*($E65=0)*(G65=1)</f>
        <v>0</v>
      </c>
      <c r="M65" s="73"/>
      <c r="N65" s="55"/>
      <c r="O65" s="55"/>
      <c r="P65" s="55"/>
      <c r="Q65" s="68">
        <f>MIN($B65,VLOOKUP($A65,Parámetros!$A$2:$J$122,8,FALSE)*UF)*12*I65*$X$2</f>
        <v>644878.47654749791</v>
      </c>
      <c r="R65" s="68">
        <f>MIN($B65,VLOOKUP($A65,Parámetros!$A$2:$J$122,8,FALSE)*UF)*12*J65*$X$2</f>
        <v>644878.47654749791</v>
      </c>
      <c r="S65" s="55">
        <f>MIN($B65,VLOOKUP($A65,Parámetros!$A$2:$J$122,10,FALSE)*UF)*12*I65*$X$3</f>
        <v>1064049.4863033714</v>
      </c>
      <c r="T65" s="55">
        <f>MIN($B65,VLOOKUP($A65,Parámetros!$A$2:$J$122,10,FALSE)*UF)*12*J65*$X$3</f>
        <v>1064049.4863033714</v>
      </c>
      <c r="U65" s="38"/>
      <c r="V65" s="38"/>
      <c r="W65" s="38"/>
      <c r="X65" s="38"/>
      <c r="Y65" s="38"/>
      <c r="Z65" s="54">
        <f t="shared" si="20"/>
        <v>22795815.181221198</v>
      </c>
      <c r="AA65" s="54">
        <f t="shared" si="21"/>
        <v>22795815.181221198</v>
      </c>
      <c r="AB65" s="55">
        <f t="shared" si="25"/>
        <v>24644995.748872764</v>
      </c>
      <c r="AC65" s="55">
        <f t="shared" si="26"/>
        <v>24644995.748872764</v>
      </c>
      <c r="AD65" s="33">
        <f>D65*mmater*Parámetros!$G52*$W$14+AD64*(1+i_noc)</f>
        <v>0</v>
      </c>
      <c r="AE65" s="33">
        <f>E65*12*Parámetros!$F52*$W$14+AE64*(1+i_noc)</f>
        <v>0</v>
      </c>
      <c r="AF65" s="33">
        <f>IFERROR(K65*$B65*VLOOKUP(n_mes_laguna,Parámetros!$Q$2:$S$42,3,FALSE)*$N$14,0)+AF64*(1+i_noc)</f>
        <v>0</v>
      </c>
      <c r="AG65" s="33">
        <f>IFERROR(L65*$B65*VLOOKUP(n_mes_laguna,Parámetros!$Q$2:$S$42,3,FALSE)*$N$14,0)+AG64*(1+i_noc)</f>
        <v>0</v>
      </c>
      <c r="AI65" s="74">
        <f t="shared" si="16"/>
        <v>0</v>
      </c>
      <c r="AJ65" s="74">
        <f t="shared" si="17"/>
        <v>0</v>
      </c>
      <c r="AK65" s="267">
        <f t="shared" si="18"/>
        <v>0</v>
      </c>
      <c r="AL65" s="267">
        <f t="shared" si="19"/>
        <v>0</v>
      </c>
      <c r="AM65" s="39"/>
      <c r="AN65" s="30"/>
      <c r="AO65" s="30"/>
      <c r="AP65" s="30"/>
    </row>
    <row r="66" spans="1:42" x14ac:dyDescent="0.25">
      <c r="A66" s="30">
        <v>2031</v>
      </c>
      <c r="B66" s="33">
        <f>w_uf*UF*Parámetros!C53</f>
        <v>938131.40446026088</v>
      </c>
      <c r="C66" s="30">
        <f t="shared" si="22"/>
        <v>52</v>
      </c>
      <c r="D66" s="30">
        <f>((A66=Inputs!$C$12)*(Inputs!$D$12) + (A66=Inputs!$C$13)*(Inputs!$D$13) + (A66=Inputs!$C$14)*(Inputs!$D$14)) *(A66 &gt;= a_afil)*(A66&gt;=2024)</f>
        <v>0</v>
      </c>
      <c r="E66" s="30">
        <f>MIN(1,(A66=Inputs!$C$19)*Inputs!$D$19+(A66=Inputs!$C$20)*Inputs!$D$20+(A66=Inputs!$C$21)*Inputs!$D$21*(A66 &gt;= a_afil))</f>
        <v>0</v>
      </c>
      <c r="F66" s="30">
        <f t="shared" si="14"/>
        <v>1</v>
      </c>
      <c r="G66" s="30">
        <f t="shared" si="15"/>
        <v>1</v>
      </c>
      <c r="H66" s="30">
        <v>0.65725642442703247</v>
      </c>
      <c r="I66" s="37">
        <f t="shared" si="23"/>
        <v>0.57999999999999996</v>
      </c>
      <c r="J66" s="37">
        <f t="shared" si="24"/>
        <v>0.57999999999999996</v>
      </c>
      <c r="K66" s="30">
        <f>1*OR(Inputs!$D$17=$A66,Inputs!$E$17=$A66)*($E66=0)*(F66=1)</f>
        <v>0</v>
      </c>
      <c r="L66" s="30">
        <f>1*OR(Inputs!$D$17=$A66,Inputs!$E$17=$A66)*($E66=0)*(G66=1)</f>
        <v>0</v>
      </c>
      <c r="M66" s="73"/>
      <c r="N66" s="55"/>
      <c r="O66" s="55"/>
      <c r="P66" s="55"/>
      <c r="Q66" s="68">
        <f>MIN($B66,VLOOKUP($A66,Parámetros!$A$2:$J$122,8,FALSE)*UF)*12*I66*$X$2</f>
        <v>652939.45750434161</v>
      </c>
      <c r="R66" s="68">
        <f>MIN($B66,VLOOKUP($A66,Parámetros!$A$2:$J$122,8,FALSE)*UF)*12*J66*$X$2</f>
        <v>652939.45750434161</v>
      </c>
      <c r="S66" s="55">
        <f>MIN($B66,VLOOKUP($A66,Parámetros!$A$2:$J$122,10,FALSE)*UF)*12*I66*$X$3</f>
        <v>1077350.1048821635</v>
      </c>
      <c r="T66" s="55">
        <f>MIN($B66,VLOOKUP($A66,Parámetros!$A$2:$J$122,10,FALSE)*UF)*12*J66*$X$3</f>
        <v>1077350.1048821635</v>
      </c>
      <c r="U66" s="38"/>
      <c r="V66" s="38"/>
      <c r="W66" s="38"/>
      <c r="X66" s="38"/>
      <c r="Y66" s="38"/>
      <c r="Z66" s="54">
        <f t="shared" si="20"/>
        <v>24219253.191850819</v>
      </c>
      <c r="AA66" s="54">
        <f t="shared" si="21"/>
        <v>24219253.191850819</v>
      </c>
      <c r="AB66" s="55">
        <f t="shared" si="25"/>
        <v>26522734.874412194</v>
      </c>
      <c r="AC66" s="55">
        <f t="shared" si="26"/>
        <v>26522734.874412194</v>
      </c>
      <c r="AD66" s="33">
        <f>D66*mmater*Parámetros!$G53*$W$14+AD65*(1+i_noc)</f>
        <v>0</v>
      </c>
      <c r="AE66" s="33">
        <f>E66*12*Parámetros!$F53*$W$14+AE65*(1+i_noc)</f>
        <v>0</v>
      </c>
      <c r="AF66" s="33">
        <f>IFERROR(K66*$B66*VLOOKUP(n_mes_laguna,Parámetros!$Q$2:$S$42,3,FALSE)*$N$14,0)+AF65*(1+i_noc)</f>
        <v>0</v>
      </c>
      <c r="AG66" s="33">
        <f>IFERROR(L66*$B66*VLOOKUP(n_mes_laguna,Parámetros!$Q$2:$S$42,3,FALSE)*$N$14,0)+AG65*(1+i_noc)</f>
        <v>0</v>
      </c>
      <c r="AI66" s="74">
        <f t="shared" si="16"/>
        <v>0</v>
      </c>
      <c r="AJ66" s="74">
        <f t="shared" si="17"/>
        <v>0</v>
      </c>
      <c r="AK66" s="267">
        <f t="shared" si="18"/>
        <v>0</v>
      </c>
      <c r="AL66" s="267">
        <f t="shared" si="19"/>
        <v>0</v>
      </c>
      <c r="AM66" s="39"/>
      <c r="AN66" s="30"/>
      <c r="AO66" s="30"/>
      <c r="AP66" s="30"/>
    </row>
    <row r="67" spans="1:42" x14ac:dyDescent="0.25">
      <c r="A67" s="30">
        <v>2032</v>
      </c>
      <c r="B67" s="33">
        <f>w_uf*UF*Parámetros!C54</f>
        <v>949858.04701601411</v>
      </c>
      <c r="C67" s="30">
        <f t="shared" si="22"/>
        <v>53</v>
      </c>
      <c r="D67" s="30">
        <f>((A67=Inputs!$C$12)*(Inputs!$D$12) + (A67=Inputs!$C$13)*(Inputs!$D$13) + (A67=Inputs!$C$14)*(Inputs!$D$14)) *(A67 &gt;= a_afil)*(A67&gt;=2024)</f>
        <v>0</v>
      </c>
      <c r="E67" s="30">
        <f>MIN(1,(A67=Inputs!$C$19)*Inputs!$D$19+(A67=Inputs!$C$20)*Inputs!$D$20+(A67=Inputs!$C$21)*Inputs!$D$21*(A67 &gt;= a_afil))</f>
        <v>0</v>
      </c>
      <c r="F67" s="30">
        <f t="shared" si="14"/>
        <v>1</v>
      </c>
      <c r="G67" s="30">
        <f t="shared" si="15"/>
        <v>1</v>
      </c>
      <c r="H67" s="30">
        <v>0.44111466407775879</v>
      </c>
      <c r="I67" s="37">
        <f t="shared" si="23"/>
        <v>0.57999999999999996</v>
      </c>
      <c r="J67" s="37">
        <f t="shared" si="24"/>
        <v>0.57999999999999996</v>
      </c>
      <c r="K67" s="30">
        <f>1*OR(Inputs!$D$17=$A67,Inputs!$E$17=$A67)*($E67=0)*(F67=1)</f>
        <v>0</v>
      </c>
      <c r="L67" s="30">
        <f>1*OR(Inputs!$D$17=$A67,Inputs!$E$17=$A67)*($E67=0)*(G67=1)</f>
        <v>0</v>
      </c>
      <c r="M67" s="73"/>
      <c r="N67" s="55"/>
      <c r="O67" s="55"/>
      <c r="P67" s="55"/>
      <c r="Q67" s="68">
        <f>MIN($B67,VLOOKUP($A67,Parámetros!$A$2:$J$122,8,FALSE)*UF)*12*I67*$X$2</f>
        <v>661101.20072314574</v>
      </c>
      <c r="R67" s="68">
        <f>MIN($B67,VLOOKUP($A67,Parámetros!$A$2:$J$122,8,FALSE)*UF)*12*J67*$X$2</f>
        <v>661101.20072314574</v>
      </c>
      <c r="S67" s="55">
        <f>MIN($B67,VLOOKUP($A67,Parámetros!$A$2:$J$122,10,FALSE)*UF)*12*I67*$X$3</f>
        <v>1090816.9811931902</v>
      </c>
      <c r="T67" s="55">
        <f>MIN($B67,VLOOKUP($A67,Parámetros!$A$2:$J$122,10,FALSE)*UF)*12*J67*$X$3</f>
        <v>1090816.9811931902</v>
      </c>
      <c r="U67" s="38"/>
      <c r="V67" s="38"/>
      <c r="W67" s="38"/>
      <c r="X67" s="38"/>
      <c r="Y67" s="38"/>
      <c r="Z67" s="54">
        <f t="shared" si="20"/>
        <v>25698965.150458522</v>
      </c>
      <c r="AA67" s="54">
        <f t="shared" si="21"/>
        <v>25698965.150458522</v>
      </c>
      <c r="AB67" s="55">
        <f t="shared" si="25"/>
        <v>28474923.714119662</v>
      </c>
      <c r="AC67" s="55">
        <f t="shared" si="26"/>
        <v>28474923.714119662</v>
      </c>
      <c r="AD67" s="33">
        <f>D67*mmater*Parámetros!$G54*$W$14+AD66*(1+i_noc)</f>
        <v>0</v>
      </c>
      <c r="AE67" s="33">
        <f>E67*12*Parámetros!$F54*$W$14+AE66*(1+i_noc)</f>
        <v>0</v>
      </c>
      <c r="AF67" s="33">
        <f>IFERROR(K67*$B67*VLOOKUP(n_mes_laguna,Parámetros!$Q$2:$S$42,3,FALSE)*$N$14,0)+AF66*(1+i_noc)</f>
        <v>0</v>
      </c>
      <c r="AG67" s="33">
        <f>IFERROR(L67*$B67*VLOOKUP(n_mes_laguna,Parámetros!$Q$2:$S$42,3,FALSE)*$N$14,0)+AG66*(1+i_noc)</f>
        <v>0</v>
      </c>
      <c r="AI67" s="74">
        <f t="shared" si="16"/>
        <v>0</v>
      </c>
      <c r="AJ67" s="74">
        <f t="shared" si="17"/>
        <v>0</v>
      </c>
      <c r="AK67" s="267">
        <f t="shared" si="18"/>
        <v>0</v>
      </c>
      <c r="AL67" s="267">
        <f t="shared" si="19"/>
        <v>0</v>
      </c>
      <c r="AM67" s="39"/>
      <c r="AN67" s="30"/>
      <c r="AO67" s="30"/>
      <c r="AP67" s="30"/>
    </row>
    <row r="68" spans="1:42" x14ac:dyDescent="0.25">
      <c r="A68" s="30">
        <v>2033</v>
      </c>
      <c r="B68" s="33">
        <f>w_uf*UF*Parámetros!C55</f>
        <v>961731.27260371426</v>
      </c>
      <c r="C68" s="30">
        <f t="shared" si="22"/>
        <v>54</v>
      </c>
      <c r="D68" s="30">
        <f>((A68=Inputs!$C$12)*(Inputs!$D$12) + (A68=Inputs!$C$13)*(Inputs!$D$13) + (A68=Inputs!$C$14)*(Inputs!$D$14)) *(A68 &gt;= a_afil)*(A68&gt;=2024)</f>
        <v>0</v>
      </c>
      <c r="E68" s="30">
        <f>MIN(1,(A68=Inputs!$C$19)*Inputs!$D$19+(A68=Inputs!$C$20)*Inputs!$D$20+(A68=Inputs!$C$21)*Inputs!$D$21*(A68 &gt;= a_afil))</f>
        <v>1</v>
      </c>
      <c r="F68" s="30">
        <f t="shared" si="14"/>
        <v>1</v>
      </c>
      <c r="G68" s="30">
        <f t="shared" si="15"/>
        <v>1</v>
      </c>
      <c r="H68" s="30">
        <v>0.69299453496932983</v>
      </c>
      <c r="I68" s="37">
        <f t="shared" si="23"/>
        <v>0.57999999999999996</v>
      </c>
      <c r="J68" s="37">
        <f t="shared" si="24"/>
        <v>0.57999999999999996</v>
      </c>
      <c r="K68" s="30">
        <f>1*OR(Inputs!$D$17=$A68,Inputs!$E$17=$A68)*($E68=0)*(F68=1)</f>
        <v>0</v>
      </c>
      <c r="L68" s="30">
        <f>1*OR(Inputs!$D$17=$A68,Inputs!$E$17=$A68)*($E68=0)*(G68=1)</f>
        <v>0</v>
      </c>
      <c r="M68" s="73"/>
      <c r="N68" s="55"/>
      <c r="O68" s="55"/>
      <c r="P68" s="55"/>
      <c r="Q68" s="68">
        <f>MIN($B68,VLOOKUP($A68,Parámetros!$A$2:$J$122,8,FALSE)*UF)*12*I68*$X$2</f>
        <v>669364.96573218517</v>
      </c>
      <c r="R68" s="68">
        <f>MIN($B68,VLOOKUP($A68,Parámetros!$A$2:$J$122,8,FALSE)*UF)*12*J68*$X$2</f>
        <v>669364.96573218517</v>
      </c>
      <c r="S68" s="55">
        <f>MIN($B68,VLOOKUP($A68,Parámetros!$A$2:$J$122,10,FALSE)*UF)*12*I68*$X$3</f>
        <v>1104452.1934581052</v>
      </c>
      <c r="T68" s="55">
        <f>MIN($B68,VLOOKUP($A68,Parámetros!$A$2:$J$122,10,FALSE)*UF)*12*J68*$X$3</f>
        <v>1104452.1934581052</v>
      </c>
      <c r="U68" s="38"/>
      <c r="V68" s="38"/>
      <c r="W68" s="38"/>
      <c r="X68" s="38"/>
      <c r="Y68" s="38"/>
      <c r="Z68" s="54">
        <f t="shared" si="20"/>
        <v>27236955.138276204</v>
      </c>
      <c r="AA68" s="54">
        <f t="shared" si="21"/>
        <v>27236955.138276204</v>
      </c>
      <c r="AB68" s="55">
        <f t="shared" si="25"/>
        <v>30504148.487661377</v>
      </c>
      <c r="AC68" s="55">
        <f t="shared" si="26"/>
        <v>30504148.487661377</v>
      </c>
      <c r="AD68" s="33">
        <f>D68*mmater*Parámetros!$G55*$W$14+AD67*(1+i_noc)</f>
        <v>0</v>
      </c>
      <c r="AE68" s="33">
        <f>E68*12*Parámetros!$F55*$W$14+AE67*(1+i_noc)</f>
        <v>0</v>
      </c>
      <c r="AF68" s="33">
        <f>IFERROR(K68*$B68*VLOOKUP(n_mes_laguna,Parámetros!$Q$2:$S$42,3,FALSE)*$N$14,0)+AF67*(1+i_noc)</f>
        <v>0</v>
      </c>
      <c r="AG68" s="33">
        <f>IFERROR(L68*$B68*VLOOKUP(n_mes_laguna,Parámetros!$Q$2:$S$42,3,FALSE)*$N$14,0)+AG67*(1+i_noc)</f>
        <v>0</v>
      </c>
      <c r="AI68" s="74">
        <f t="shared" si="16"/>
        <v>0</v>
      </c>
      <c r="AJ68" s="74">
        <f t="shared" si="17"/>
        <v>0</v>
      </c>
      <c r="AK68" s="267">
        <f t="shared" si="18"/>
        <v>0</v>
      </c>
      <c r="AL68" s="267">
        <f t="shared" si="19"/>
        <v>0</v>
      </c>
      <c r="AM68" s="39"/>
      <c r="AN68" s="30"/>
      <c r="AO68" s="30"/>
      <c r="AP68" s="30"/>
    </row>
    <row r="69" spans="1:42" x14ac:dyDescent="0.25">
      <c r="A69" s="30">
        <v>2034</v>
      </c>
      <c r="B69" s="33">
        <f>w_uf*UF*Parámetros!C56</f>
        <v>973752.91351126065</v>
      </c>
      <c r="C69" s="30">
        <f t="shared" si="22"/>
        <v>55</v>
      </c>
      <c r="D69" s="30">
        <f>((A69=Inputs!$C$12)*(Inputs!$D$12) + (A69=Inputs!$C$13)*(Inputs!$D$13) + (A69=Inputs!$C$14)*(Inputs!$D$14)) *(A69 &gt;= a_afil)*(A69&gt;=2024)</f>
        <v>0</v>
      </c>
      <c r="E69" s="30">
        <f>MIN(1,(A69=Inputs!$C$19)*Inputs!$D$19+(A69=Inputs!$C$20)*Inputs!$D$20+(A69=Inputs!$C$21)*Inputs!$D$21*(A69 &gt;= a_afil))</f>
        <v>1</v>
      </c>
      <c r="F69" s="30">
        <f t="shared" si="14"/>
        <v>1</v>
      </c>
      <c r="G69" s="30">
        <f t="shared" si="15"/>
        <v>1</v>
      </c>
      <c r="H69" s="30">
        <v>6.4491152763366699E-2</v>
      </c>
      <c r="I69" s="37">
        <f t="shared" si="23"/>
        <v>0.57999999999999996</v>
      </c>
      <c r="J69" s="37">
        <f t="shared" si="24"/>
        <v>0.57999999999999996</v>
      </c>
      <c r="K69" s="30">
        <f>1*OR(Inputs!$D$17=$A69,Inputs!$E$17=$A69)*($E69=0)*(F69=1)</f>
        <v>0</v>
      </c>
      <c r="L69" s="30">
        <f>1*OR(Inputs!$D$17=$A69,Inputs!$E$17=$A69)*($E69=0)*(G69=1)</f>
        <v>0</v>
      </c>
      <c r="M69" s="73"/>
      <c r="N69" s="55"/>
      <c r="O69" s="55"/>
      <c r="P69" s="55"/>
      <c r="Q69" s="68">
        <f>MIN($B69,VLOOKUP($A69,Parámetros!$A$2:$J$122,8,FALSE)*UF)*12*I69*$X$2</f>
        <v>677732.02780383744</v>
      </c>
      <c r="R69" s="68">
        <f>MIN($B69,VLOOKUP($A69,Parámetros!$A$2:$J$122,8,FALSE)*UF)*12*J69*$X$2</f>
        <v>677732.02780383744</v>
      </c>
      <c r="S69" s="55">
        <f>MIN($B69,VLOOKUP($A69,Parámetros!$A$2:$J$122,10,FALSE)*UF)*12*I69*$X$3</f>
        <v>1118257.8458763317</v>
      </c>
      <c r="T69" s="55">
        <f>MIN($B69,VLOOKUP($A69,Parámetros!$A$2:$J$122,10,FALSE)*UF)*12*J69*$X$3</f>
        <v>1118257.8458763317</v>
      </c>
      <c r="U69" s="38"/>
      <c r="V69" s="38"/>
      <c r="W69" s="38"/>
      <c r="X69" s="38"/>
      <c r="Y69" s="38"/>
      <c r="Z69" s="54">
        <f t="shared" si="20"/>
        <v>28835296.249753781</v>
      </c>
      <c r="AA69" s="54">
        <f t="shared" si="21"/>
        <v>28835296.249753781</v>
      </c>
      <c r="AB69" s="55">
        <f t="shared" si="25"/>
        <v>32613081.510876291</v>
      </c>
      <c r="AC69" s="55">
        <f t="shared" si="26"/>
        <v>32613081.510876291</v>
      </c>
      <c r="AD69" s="33">
        <f>D69*mmater*Parámetros!$G56*$W$14+AD68*(1+i_noc)</f>
        <v>0</v>
      </c>
      <c r="AE69" s="33">
        <f>E69*12*Parámetros!$F56*$W$14+AE68*(1+i_noc)</f>
        <v>0</v>
      </c>
      <c r="AF69" s="33">
        <f>IFERROR(K69*$B69*VLOOKUP(n_mes_laguna,Parámetros!$Q$2:$S$42,3,FALSE)*$N$14,0)+AF68*(1+i_noc)</f>
        <v>0</v>
      </c>
      <c r="AG69" s="33">
        <f>IFERROR(L69*$B69*VLOOKUP(n_mes_laguna,Parámetros!$Q$2:$S$42,3,FALSE)*$N$14,0)+AG68*(1+i_noc)</f>
        <v>0</v>
      </c>
      <c r="AI69" s="74">
        <f t="shared" si="16"/>
        <v>0</v>
      </c>
      <c r="AJ69" s="74">
        <f t="shared" si="17"/>
        <v>0</v>
      </c>
      <c r="AK69" s="267">
        <f t="shared" si="18"/>
        <v>0</v>
      </c>
      <c r="AL69" s="267">
        <f t="shared" si="19"/>
        <v>0</v>
      </c>
      <c r="AM69" s="39"/>
      <c r="AN69" s="30"/>
      <c r="AO69" s="30"/>
      <c r="AP69" s="30"/>
    </row>
    <row r="70" spans="1:42" x14ac:dyDescent="0.25">
      <c r="A70" s="30">
        <v>2035</v>
      </c>
      <c r="B70" s="33">
        <f>w_uf*UF*Parámetros!C57</f>
        <v>985924.82493015134</v>
      </c>
      <c r="C70" s="30">
        <f t="shared" si="22"/>
        <v>56</v>
      </c>
      <c r="D70" s="30">
        <f>((A70=Inputs!$C$12)*(Inputs!$D$12) + (A70=Inputs!$C$13)*(Inputs!$D$13) + (A70=Inputs!$C$14)*(Inputs!$D$14)) *(A70 &gt;= a_afil)*(A70&gt;=2024)</f>
        <v>0</v>
      </c>
      <c r="E70" s="30">
        <f>MIN(1,(A70=Inputs!$C$19)*Inputs!$D$19+(A70=Inputs!$C$20)*Inputs!$D$20+(A70=Inputs!$C$21)*Inputs!$D$21*(A70 &gt;= a_afil))</f>
        <v>0</v>
      </c>
      <c r="F70" s="30">
        <f t="shared" si="14"/>
        <v>1</v>
      </c>
      <c r="G70" s="30">
        <f t="shared" si="15"/>
        <v>1</v>
      </c>
      <c r="H70" s="30">
        <v>0.7560926079750061</v>
      </c>
      <c r="I70" s="37">
        <f t="shared" si="23"/>
        <v>0.57999999999999996</v>
      </c>
      <c r="J70" s="37">
        <f t="shared" si="24"/>
        <v>0.57999999999999996</v>
      </c>
      <c r="K70" s="30">
        <f>1*OR(Inputs!$D$17=$A70,Inputs!$E$17=$A70)*($E70=0)*(F70=1)</f>
        <v>0</v>
      </c>
      <c r="L70" s="30">
        <f>1*OR(Inputs!$D$17=$A70,Inputs!$E$17=$A70)*($E70=0)*(G70=1)</f>
        <v>0</v>
      </c>
      <c r="M70" s="73"/>
      <c r="N70" s="55"/>
      <c r="O70" s="55"/>
      <c r="P70" s="55"/>
      <c r="Q70" s="68">
        <f>MIN($B70,VLOOKUP($A70,Parámetros!$A$2:$J$122,8,FALSE)*UF)*12*I70*$X$2</f>
        <v>686203.67815138539</v>
      </c>
      <c r="R70" s="68">
        <f>MIN($B70,VLOOKUP($A70,Parámetros!$A$2:$J$122,8,FALSE)*UF)*12*J70*$X$2</f>
        <v>686203.67815138539</v>
      </c>
      <c r="S70" s="55">
        <f>MIN($B70,VLOOKUP($A70,Parámetros!$A$2:$J$122,10,FALSE)*UF)*12*I70*$X$3</f>
        <v>1132236.0689497855</v>
      </c>
      <c r="T70" s="55">
        <f>MIN($B70,VLOOKUP($A70,Parámetros!$A$2:$J$122,10,FALSE)*UF)*12*J70*$X$3</f>
        <v>1132236.0689497855</v>
      </c>
      <c r="U70" s="38"/>
      <c r="V70" s="38"/>
      <c r="W70" s="38"/>
      <c r="X70" s="38"/>
      <c r="Y70" s="38"/>
      <c r="Z70" s="54">
        <f t="shared" si="20"/>
        <v>30496132.941146843</v>
      </c>
      <c r="AA70" s="54">
        <f t="shared" si="21"/>
        <v>30496132.941146843</v>
      </c>
      <c r="AB70" s="55">
        <f t="shared" si="25"/>
        <v>34804484.018201299</v>
      </c>
      <c r="AC70" s="55">
        <f t="shared" si="26"/>
        <v>34804484.018201299</v>
      </c>
      <c r="AD70" s="33">
        <f>D70*mmater*Parámetros!$G57*$W$14+AD69*(1+i_noc)</f>
        <v>0</v>
      </c>
      <c r="AE70" s="33">
        <f>E70*12*Parámetros!$F57*$W$14+AE69*(1+i_noc)</f>
        <v>0</v>
      </c>
      <c r="AF70" s="33">
        <f>IFERROR(K70*$B70*VLOOKUP(n_mes_laguna,Parámetros!$Q$2:$S$42,3,FALSE)*$N$14,0)+AF69*(1+i_noc)</f>
        <v>0</v>
      </c>
      <c r="AG70" s="33">
        <f>IFERROR(L70*$B70*VLOOKUP(n_mes_laguna,Parámetros!$Q$2:$S$42,3,FALSE)*$N$14,0)+AG69*(1+i_noc)</f>
        <v>0</v>
      </c>
      <c r="AI70" s="74">
        <f t="shared" si="16"/>
        <v>0</v>
      </c>
      <c r="AJ70" s="74">
        <f t="shared" si="17"/>
        <v>0</v>
      </c>
      <c r="AK70" s="267">
        <f t="shared" si="18"/>
        <v>0</v>
      </c>
      <c r="AL70" s="267">
        <f t="shared" si="19"/>
        <v>0</v>
      </c>
      <c r="AM70" s="39"/>
      <c r="AN70" s="30"/>
      <c r="AO70" s="30"/>
      <c r="AP70" s="30"/>
    </row>
    <row r="71" spans="1:42" x14ac:dyDescent="0.25">
      <c r="A71" s="30">
        <v>2036</v>
      </c>
      <c r="B71" s="33">
        <f>w_uf*UF*Parámetros!C58</f>
        <v>998248.88524177822</v>
      </c>
      <c r="C71" s="30">
        <f t="shared" si="22"/>
        <v>57</v>
      </c>
      <c r="D71" s="30">
        <f>((A71=Inputs!$C$12)*(Inputs!$D$12) + (A71=Inputs!$C$13)*(Inputs!$D$13) + (A71=Inputs!$C$14)*(Inputs!$D$14)) *(A71 &gt;= a_afil)*(A71&gt;=2024)</f>
        <v>0</v>
      </c>
      <c r="E71" s="30">
        <f>MIN(1,(A71=Inputs!$C$19)*Inputs!$D$19+(A71=Inputs!$C$20)*Inputs!$D$20+(A71=Inputs!$C$21)*Inputs!$D$21*(A71 &gt;= a_afil))</f>
        <v>0</v>
      </c>
      <c r="F71" s="30">
        <f t="shared" si="14"/>
        <v>1</v>
      </c>
      <c r="G71" s="30">
        <f t="shared" si="15"/>
        <v>1</v>
      </c>
      <c r="H71" s="30">
        <v>0.70051431655883789</v>
      </c>
      <c r="I71" s="37">
        <f t="shared" si="23"/>
        <v>0.57999999999999996</v>
      </c>
      <c r="J71" s="37">
        <f t="shared" si="24"/>
        <v>0.57999999999999996</v>
      </c>
      <c r="K71" s="30">
        <f>1*OR(Inputs!$D$17=$A71,Inputs!$E$17=$A71)*($E71=0)*(F71=1)</f>
        <v>0</v>
      </c>
      <c r="L71" s="30">
        <f>1*OR(Inputs!$D$17=$A71,Inputs!$E$17=$A71)*($E71=0)*(G71=1)</f>
        <v>0</v>
      </c>
      <c r="M71" s="73"/>
      <c r="N71" s="55"/>
      <c r="O71" s="55"/>
      <c r="P71" s="55"/>
      <c r="Q71" s="68">
        <f>MIN($B71,VLOOKUP($A71,Parámetros!$A$2:$J$122,8,FALSE)*UF)*12*I71*$X$2</f>
        <v>694781.22412827762</v>
      </c>
      <c r="R71" s="68">
        <f>MIN($B71,VLOOKUP($A71,Parámetros!$A$2:$J$122,8,FALSE)*UF)*12*J71*$X$2</f>
        <v>694781.22412827762</v>
      </c>
      <c r="S71" s="55">
        <f>MIN($B71,VLOOKUP($A71,Parámetros!$A$2:$J$122,10,FALSE)*UF)*12*I71*$X$3</f>
        <v>1146389.019811658</v>
      </c>
      <c r="T71" s="55">
        <f>MIN($B71,VLOOKUP($A71,Parámetros!$A$2:$J$122,10,FALSE)*UF)*12*J71*$X$3</f>
        <v>1146389.019811658</v>
      </c>
      <c r="U71" s="38"/>
      <c r="V71" s="38"/>
      <c r="W71" s="38"/>
      <c r="X71" s="38"/>
      <c r="Y71" s="38"/>
      <c r="Z71" s="54">
        <f t="shared" si="20"/>
        <v>32221683.458685882</v>
      </c>
      <c r="AA71" s="54">
        <f t="shared" si="21"/>
        <v>32221683.458685882</v>
      </c>
      <c r="AB71" s="55">
        <f t="shared" si="25"/>
        <v>37081209.077088304</v>
      </c>
      <c r="AC71" s="55">
        <f t="shared" si="26"/>
        <v>37081209.077088304</v>
      </c>
      <c r="AD71" s="33">
        <f>D71*mmater*Parámetros!$G58*$W$14+AD70*(1+i_noc)</f>
        <v>0</v>
      </c>
      <c r="AE71" s="33">
        <f>E71*12*Parámetros!$F58*$W$14+AE70*(1+i_noc)</f>
        <v>0</v>
      </c>
      <c r="AF71" s="33">
        <f>IFERROR(K71*$B71*VLOOKUP(n_mes_laguna,Parámetros!$Q$2:$S$42,3,FALSE)*$N$14,0)+AF70*(1+i_noc)</f>
        <v>0</v>
      </c>
      <c r="AG71" s="33">
        <f>IFERROR(L71*$B71*VLOOKUP(n_mes_laguna,Parámetros!$Q$2:$S$42,3,FALSE)*$N$14,0)+AG70*(1+i_noc)</f>
        <v>0</v>
      </c>
      <c r="AI71" s="74">
        <f t="shared" si="16"/>
        <v>0</v>
      </c>
      <c r="AJ71" s="74">
        <f t="shared" si="17"/>
        <v>0</v>
      </c>
      <c r="AK71" s="267">
        <f t="shared" si="18"/>
        <v>0</v>
      </c>
      <c r="AL71" s="267">
        <f t="shared" si="19"/>
        <v>0</v>
      </c>
      <c r="AM71" s="39"/>
      <c r="AN71" s="30"/>
      <c r="AO71" s="30"/>
      <c r="AP71" s="30"/>
    </row>
    <row r="72" spans="1:42" x14ac:dyDescent="0.25">
      <c r="A72" s="30">
        <v>2037</v>
      </c>
      <c r="B72" s="33">
        <f>w_uf*UF*Parámetros!C59</f>
        <v>1010726.9963073004</v>
      </c>
      <c r="C72" s="30">
        <f t="shared" si="22"/>
        <v>58</v>
      </c>
      <c r="D72" s="30">
        <f>((A72=Inputs!$C$12)*(Inputs!$D$12) + (A72=Inputs!$C$13)*(Inputs!$D$13) + (A72=Inputs!$C$14)*(Inputs!$D$14)) *(A72 &gt;= a_afil)*(A72&gt;=2024)</f>
        <v>0</v>
      </c>
      <c r="E72" s="30">
        <f>MIN(1,(A72=Inputs!$C$19)*Inputs!$D$19+(A72=Inputs!$C$20)*Inputs!$D$20+(A72=Inputs!$C$21)*Inputs!$D$21*(A72 &gt;= a_afil))</f>
        <v>0</v>
      </c>
      <c r="F72" s="30">
        <f t="shared" si="14"/>
        <v>1</v>
      </c>
      <c r="G72" s="30">
        <f t="shared" si="15"/>
        <v>1</v>
      </c>
      <c r="H72" s="30">
        <v>0.49707096815109253</v>
      </c>
      <c r="I72" s="37">
        <f t="shared" si="23"/>
        <v>0.57999999999999996</v>
      </c>
      <c r="J72" s="37">
        <f t="shared" si="24"/>
        <v>0.57999999999999996</v>
      </c>
      <c r="K72" s="30">
        <f>1*OR(Inputs!$D$17=$A72,Inputs!$E$17=$A72)*($E72=0)*(F72=1)</f>
        <v>0</v>
      </c>
      <c r="L72" s="30">
        <f>1*OR(Inputs!$D$17=$A72,Inputs!$E$17=$A72)*($E72=0)*(G72=1)</f>
        <v>0</v>
      </c>
      <c r="M72" s="73"/>
      <c r="N72" s="55"/>
      <c r="O72" s="55"/>
      <c r="P72" s="55"/>
      <c r="Q72" s="68">
        <f>MIN($B72,VLOOKUP($A72,Parámetros!$A$2:$J$122,8,FALSE)*UF)*12*I72*$X$2</f>
        <v>703465.9894298811</v>
      </c>
      <c r="R72" s="68">
        <f>MIN($B72,VLOOKUP($A72,Parámetros!$A$2:$J$122,8,FALSE)*UF)*12*J72*$X$2</f>
        <v>703465.9894298811</v>
      </c>
      <c r="S72" s="55">
        <f>MIN($B72,VLOOKUP($A72,Parámetros!$A$2:$J$122,10,FALSE)*UF)*12*I72*$X$3</f>
        <v>1160718.8825593037</v>
      </c>
      <c r="T72" s="55">
        <f>MIN($B72,VLOOKUP($A72,Parámetros!$A$2:$J$122,10,FALSE)*UF)*12*J72*$X$3</f>
        <v>1160718.8825593037</v>
      </c>
      <c r="U72" s="38"/>
      <c r="V72" s="38"/>
      <c r="W72" s="38"/>
      <c r="X72" s="38"/>
      <c r="Y72" s="38"/>
      <c r="Z72" s="54">
        <f t="shared" si="20"/>
        <v>34014242.349019349</v>
      </c>
      <c r="AA72" s="54">
        <f t="shared" si="21"/>
        <v>34014242.349019349</v>
      </c>
      <c r="AB72" s="55">
        <f t="shared" si="25"/>
        <v>39446204.597405009</v>
      </c>
      <c r="AC72" s="55">
        <f t="shared" si="26"/>
        <v>39446204.597405009</v>
      </c>
      <c r="AD72" s="33">
        <f>D72*mmater*Parámetros!$G59*$W$14+AD71*(1+i_noc)</f>
        <v>0</v>
      </c>
      <c r="AE72" s="33">
        <f>E72*12*Parámetros!$F59*$W$14+AE71*(1+i_noc)</f>
        <v>0</v>
      </c>
      <c r="AF72" s="33">
        <f>IFERROR(K72*$B72*VLOOKUP(n_mes_laguna,Parámetros!$Q$2:$S$42,3,FALSE)*$N$14,0)+AF71*(1+i_noc)</f>
        <v>0</v>
      </c>
      <c r="AG72" s="33">
        <f>IFERROR(L72*$B72*VLOOKUP(n_mes_laguna,Parámetros!$Q$2:$S$42,3,FALSE)*$N$14,0)+AG71*(1+i_noc)</f>
        <v>0</v>
      </c>
      <c r="AI72" s="74">
        <f t="shared" si="16"/>
        <v>0</v>
      </c>
      <c r="AJ72" s="74">
        <f t="shared" si="17"/>
        <v>0</v>
      </c>
      <c r="AK72" s="267">
        <f t="shared" si="18"/>
        <v>0</v>
      </c>
      <c r="AL72" s="267">
        <f t="shared" si="19"/>
        <v>0</v>
      </c>
      <c r="AM72" s="39"/>
      <c r="AN72" s="30"/>
      <c r="AO72" s="30"/>
      <c r="AP72" s="30"/>
    </row>
    <row r="73" spans="1:42" x14ac:dyDescent="0.25">
      <c r="A73" s="30">
        <v>2038</v>
      </c>
      <c r="B73" s="33">
        <f>w_uf*UF*Parámetros!C60</f>
        <v>1023361.0837611416</v>
      </c>
      <c r="C73" s="30">
        <f t="shared" si="22"/>
        <v>59</v>
      </c>
      <c r="D73" s="30">
        <f>((A73=Inputs!$C$12)*(Inputs!$D$12) + (A73=Inputs!$C$13)*(Inputs!$D$13) + (A73=Inputs!$C$14)*(Inputs!$D$14)) *(A73 &gt;= a_afil)*(A73&gt;=2024)</f>
        <v>0</v>
      </c>
      <c r="E73" s="30">
        <f>MIN(1,(A73=Inputs!$C$19)*Inputs!$D$19+(A73=Inputs!$C$20)*Inputs!$D$20+(A73=Inputs!$C$21)*Inputs!$D$21*(A73 &gt;= a_afil))</f>
        <v>0</v>
      </c>
      <c r="F73" s="30">
        <f t="shared" si="14"/>
        <v>1</v>
      </c>
      <c r="G73" s="30">
        <f t="shared" si="15"/>
        <v>1</v>
      </c>
      <c r="H73" s="30">
        <v>0.15543568134307861</v>
      </c>
      <c r="I73" s="37">
        <f t="shared" si="23"/>
        <v>0.57999999999999996</v>
      </c>
      <c r="J73" s="37">
        <f t="shared" si="24"/>
        <v>0.57999999999999996</v>
      </c>
      <c r="K73" s="30">
        <f>1*OR(Inputs!$D$17=$A73,Inputs!$E$17=$A73)*($E73=0)*(F73=1)</f>
        <v>0</v>
      </c>
      <c r="L73" s="30">
        <f>1*OR(Inputs!$D$17=$A73,Inputs!$E$17=$A73)*($E73=0)*(G73=1)</f>
        <v>0</v>
      </c>
      <c r="M73" s="73"/>
      <c r="N73" s="55"/>
      <c r="O73" s="55"/>
      <c r="P73" s="55"/>
      <c r="Q73" s="68">
        <f>MIN($B73,VLOOKUP($A73,Parámetros!$A$2:$J$122,8,FALSE)*UF)*12*I73*$X$2</f>
        <v>712259.31429775455</v>
      </c>
      <c r="R73" s="68">
        <f>MIN($B73,VLOOKUP($A73,Parámetros!$A$2:$J$122,8,FALSE)*UF)*12*J73*$X$2</f>
        <v>712259.31429775455</v>
      </c>
      <c r="S73" s="55">
        <f>MIN($B73,VLOOKUP($A73,Parámetros!$A$2:$J$122,10,FALSE)*UF)*12*I73*$X$3</f>
        <v>1175227.8685912949</v>
      </c>
      <c r="T73" s="55">
        <f>MIN($B73,VLOOKUP($A73,Parámetros!$A$2:$J$122,10,FALSE)*UF)*12*J73*$X$3</f>
        <v>1175227.8685912949</v>
      </c>
      <c r="U73" s="38"/>
      <c r="V73" s="38"/>
      <c r="W73" s="38"/>
      <c r="X73" s="38"/>
      <c r="Y73" s="38"/>
      <c r="Z73" s="54">
        <f t="shared" si="20"/>
        <v>35876183.054713964</v>
      </c>
      <c r="AA73" s="54">
        <f t="shared" si="21"/>
        <v>35876183.054713964</v>
      </c>
      <c r="AB73" s="55">
        <f t="shared" si="25"/>
        <v>41902516.438908219</v>
      </c>
      <c r="AC73" s="55">
        <f t="shared" si="26"/>
        <v>41902516.438908219</v>
      </c>
      <c r="AD73" s="33">
        <f>D73*mmater*Parámetros!$G60*$W$14+AD72*(1+i_noc)</f>
        <v>0</v>
      </c>
      <c r="AE73" s="33">
        <f>E73*12*Parámetros!$F60*$W$14+AE72*(1+i_noc)</f>
        <v>0</v>
      </c>
      <c r="AF73" s="33">
        <f>IFERROR(K73*$B73*VLOOKUP(n_mes_laguna,Parámetros!$Q$2:$S$42,3,FALSE)*$N$14,0)+AF72*(1+i_noc)</f>
        <v>0</v>
      </c>
      <c r="AG73" s="33">
        <f>IFERROR(L73*$B73*VLOOKUP(n_mes_laguna,Parámetros!$Q$2:$S$42,3,FALSE)*$N$14,0)+AG72*(1+i_noc)</f>
        <v>0</v>
      </c>
      <c r="AI73" s="74">
        <f t="shared" si="16"/>
        <v>0</v>
      </c>
      <c r="AJ73" s="74">
        <f t="shared" si="17"/>
        <v>0</v>
      </c>
      <c r="AK73" s="267">
        <f t="shared" si="18"/>
        <v>0</v>
      </c>
      <c r="AL73" s="267">
        <f t="shared" si="19"/>
        <v>0</v>
      </c>
      <c r="AM73" s="39"/>
      <c r="AN73" s="30"/>
      <c r="AO73" s="30"/>
      <c r="AP73" s="30"/>
    </row>
    <row r="74" spans="1:42" x14ac:dyDescent="0.25">
      <c r="A74" s="30">
        <v>2039</v>
      </c>
      <c r="B74" s="33">
        <f>w_uf*UF*Parámetros!C61</f>
        <v>1036153.0973081558</v>
      </c>
      <c r="C74" s="30">
        <f t="shared" si="22"/>
        <v>60</v>
      </c>
      <c r="D74" s="30">
        <f>((A74=Inputs!$C$12)*(Inputs!$D$12) + (A74=Inputs!$C$13)*(Inputs!$D$13) + (A74=Inputs!$C$14)*(Inputs!$D$14)) *(A74 &gt;= a_afil)*(A74&gt;=2024)</f>
        <v>0</v>
      </c>
      <c r="E74" s="30">
        <f>MIN(1,(A74=Inputs!$C$19)*Inputs!$D$19+(A74=Inputs!$C$20)*Inputs!$D$20+(A74=Inputs!$C$21)*Inputs!$D$21*(A74 &gt;= a_afil))</f>
        <v>0</v>
      </c>
      <c r="F74" s="30">
        <f t="shared" si="14"/>
        <v>1</v>
      </c>
      <c r="G74" s="30">
        <f t="shared" si="15"/>
        <v>1</v>
      </c>
      <c r="H74" s="30">
        <v>0.22373753786087036</v>
      </c>
      <c r="I74" s="37">
        <f t="shared" si="23"/>
        <v>0.57999999999999996</v>
      </c>
      <c r="J74" s="37">
        <f t="shared" si="24"/>
        <v>0.57999999999999996</v>
      </c>
      <c r="K74" s="30">
        <f>1*OR(Inputs!$D$17=$A74,Inputs!$E$17=$A74)*($E74=0)*(F74=1)</f>
        <v>0</v>
      </c>
      <c r="L74" s="30">
        <f>1*OR(Inputs!$D$17=$A74,Inputs!$E$17=$A74)*($E74=0)*(G74=1)</f>
        <v>0</v>
      </c>
      <c r="M74" s="73"/>
      <c r="N74" s="55"/>
      <c r="O74" s="55"/>
      <c r="P74" s="55"/>
      <c r="Q74" s="68">
        <f>MIN($B74,VLOOKUP($A74,Parámetros!$A$2:$J$122,8,FALSE)*UF)*12*I74*$X$2</f>
        <v>721162.55572647648</v>
      </c>
      <c r="R74" s="68">
        <f>MIN($B74,VLOOKUP($A74,Parámetros!$A$2:$J$122,8,FALSE)*UF)*12*J74*$X$2</f>
        <v>721162.55572647648</v>
      </c>
      <c r="S74" s="55">
        <f>MIN($B74,VLOOKUP($A74,Parámetros!$A$2:$J$122,10,FALSE)*UF)*12*I74*$X$3</f>
        <v>1189918.2169486859</v>
      </c>
      <c r="T74" s="55">
        <f>MIN($B74,VLOOKUP($A74,Parámetros!$A$2:$J$122,10,FALSE)*UF)*12*J74*$X$3</f>
        <v>1189918.2169486859</v>
      </c>
      <c r="U74" s="38"/>
      <c r="V74" s="38"/>
      <c r="W74" s="38"/>
      <c r="X74" s="38"/>
      <c r="Y74" s="38"/>
      <c r="Z74" s="54">
        <f t="shared" si="20"/>
        <v>37809960.597689778</v>
      </c>
      <c r="AA74" s="54">
        <f t="shared" si="21"/>
        <v>37809960.597689778</v>
      </c>
      <c r="AB74" s="55">
        <f t="shared" si="25"/>
        <v>44453291.619978994</v>
      </c>
      <c r="AC74" s="55">
        <f t="shared" si="26"/>
        <v>44453291.619978994</v>
      </c>
      <c r="AD74" s="33">
        <f>D74*mmater*Parámetros!$G61*$W$14+AD73*(1+i_noc)</f>
        <v>0</v>
      </c>
      <c r="AE74" s="33">
        <f>E74*12*Parámetros!$F61*$W$14+AE73*(1+i_noc)</f>
        <v>0</v>
      </c>
      <c r="AF74" s="33">
        <f>IFERROR(K74*$B74*VLOOKUP(n_mes_laguna,Parámetros!$Q$2:$S$42,3,FALSE)*$N$14,0)+AF73*(1+i_noc)</f>
        <v>0</v>
      </c>
      <c r="AG74" s="33">
        <f>IFERROR(L74*$B74*VLOOKUP(n_mes_laguna,Parámetros!$Q$2:$S$42,3,FALSE)*$N$14,0)+AG73*(1+i_noc)</f>
        <v>0</v>
      </c>
      <c r="AI74" s="74">
        <f t="shared" si="16"/>
        <v>0</v>
      </c>
      <c r="AJ74" s="74">
        <f t="shared" si="17"/>
        <v>0</v>
      </c>
      <c r="AK74" s="267">
        <f t="shared" si="18"/>
        <v>0</v>
      </c>
      <c r="AL74" s="267">
        <f t="shared" si="19"/>
        <v>0</v>
      </c>
      <c r="AM74" s="39"/>
      <c r="AN74" s="30"/>
      <c r="AO74" s="30"/>
      <c r="AP74" s="30"/>
    </row>
    <row r="75" spans="1:42" x14ac:dyDescent="0.25">
      <c r="A75" s="30">
        <v>2040</v>
      </c>
      <c r="B75" s="33">
        <f>w_uf*UF*Parámetros!C62</f>
        <v>1049105.0110245079</v>
      </c>
      <c r="C75" s="30">
        <f t="shared" si="22"/>
        <v>61</v>
      </c>
      <c r="D75" s="30">
        <f>((A75=Inputs!$C$12)*(Inputs!$D$12) + (A75=Inputs!$C$13)*(Inputs!$D$13) + (A75=Inputs!$C$14)*(Inputs!$D$14)) *(A75 &gt;= a_afil)*(A75&gt;=2024)</f>
        <v>0</v>
      </c>
      <c r="E75" s="30">
        <f>MIN(1,(A75=Inputs!$C$19)*Inputs!$D$19+(A75=Inputs!$C$20)*Inputs!$D$20+(A75=Inputs!$C$21)*Inputs!$D$21*(A75 &gt;= a_afil))</f>
        <v>0</v>
      </c>
      <c r="F75" s="30">
        <f t="shared" si="14"/>
        <v>1</v>
      </c>
      <c r="G75" s="30">
        <f t="shared" si="15"/>
        <v>1</v>
      </c>
      <c r="H75" s="30">
        <v>0.32614398002624512</v>
      </c>
      <c r="I75" s="37">
        <f t="shared" si="23"/>
        <v>0.57999999999999996</v>
      </c>
      <c r="J75" s="37">
        <f t="shared" si="24"/>
        <v>0.57999999999999996</v>
      </c>
      <c r="K75" s="30">
        <f>1*OR(Inputs!$D$17=$A75,Inputs!$E$17=$A75)*($E75=0)*(F75=1)</f>
        <v>0</v>
      </c>
      <c r="L75" s="30">
        <f>1*OR(Inputs!$D$17=$A75,Inputs!$E$17=$A75)*($E75=0)*(G75=1)</f>
        <v>0</v>
      </c>
      <c r="M75" s="73"/>
      <c r="N75" s="55"/>
      <c r="O75" s="55"/>
      <c r="P75" s="55"/>
      <c r="Q75" s="68">
        <f>MIN($B75,VLOOKUP($A75,Parámetros!$A$2:$J$122,8,FALSE)*UF)*12*I75*$X$2</f>
        <v>730177.08767305757</v>
      </c>
      <c r="R75" s="68">
        <f>MIN($B75,VLOOKUP($A75,Parámetros!$A$2:$J$122,8,FALSE)*UF)*12*J75*$X$2</f>
        <v>730177.08767305757</v>
      </c>
      <c r="S75" s="55">
        <f>MIN($B75,VLOOKUP($A75,Parámetros!$A$2:$J$122,10,FALSE)*UF)*12*I75*$X$3</f>
        <v>1204792.1946605449</v>
      </c>
      <c r="T75" s="55">
        <f>MIN($B75,VLOOKUP($A75,Parámetros!$A$2:$J$122,10,FALSE)*UF)*12*J75*$X$3</f>
        <v>1204792.1946605449</v>
      </c>
      <c r="U75" s="38"/>
      <c r="V75" s="38"/>
      <c r="W75" s="38"/>
      <c r="X75" s="38"/>
      <c r="Y75" s="38"/>
      <c r="Z75" s="54">
        <f t="shared" si="20"/>
        <v>39818114.353564754</v>
      </c>
      <c r="AA75" s="54">
        <f t="shared" si="21"/>
        <v>39818114.353564754</v>
      </c>
      <c r="AB75" s="55">
        <f t="shared" si="25"/>
        <v>47101781.630912617</v>
      </c>
      <c r="AC75" s="55">
        <f t="shared" si="26"/>
        <v>47101781.630912617</v>
      </c>
      <c r="AD75" s="33">
        <f>D75*mmater*Parámetros!$G62*$W$14+AD74*(1+i_noc)</f>
        <v>0</v>
      </c>
      <c r="AE75" s="33">
        <f>E75*12*Parámetros!$F62*$W$14+AE74*(1+i_noc)</f>
        <v>0</v>
      </c>
      <c r="AF75" s="33">
        <f>IFERROR(K75*$B75*VLOOKUP(n_mes_laguna,Parámetros!$Q$2:$S$42,3,FALSE)*$N$14,0)+AF74*(1+i_noc)</f>
        <v>0</v>
      </c>
      <c r="AG75" s="33">
        <f>IFERROR(L75*$B75*VLOOKUP(n_mes_laguna,Parámetros!$Q$2:$S$42,3,FALSE)*$N$14,0)+AG74*(1+i_noc)</f>
        <v>0</v>
      </c>
      <c r="AI75" s="74">
        <f t="shared" si="16"/>
        <v>0</v>
      </c>
      <c r="AJ75" s="74">
        <f t="shared" si="17"/>
        <v>0</v>
      </c>
      <c r="AK75" s="267">
        <f t="shared" si="18"/>
        <v>0</v>
      </c>
      <c r="AL75" s="267">
        <f t="shared" si="19"/>
        <v>0</v>
      </c>
      <c r="AM75" s="39"/>
      <c r="AN75" s="30"/>
      <c r="AO75" s="30"/>
      <c r="AP75" s="30"/>
    </row>
    <row r="76" spans="1:42" x14ac:dyDescent="0.25">
      <c r="A76" s="30">
        <v>2041</v>
      </c>
      <c r="B76" s="33">
        <f>w_uf*UF*Parámetros!C63</f>
        <v>1062218.8236623141</v>
      </c>
      <c r="C76" s="30">
        <f t="shared" si="22"/>
        <v>62</v>
      </c>
      <c r="D76" s="30">
        <f>((A76=Inputs!$C$12)*(Inputs!$D$12) + (A76=Inputs!$C$13)*(Inputs!$D$13) + (A76=Inputs!$C$14)*(Inputs!$D$14)) *(A76 &gt;= a_afil)*(A76&gt;=2024)</f>
        <v>0</v>
      </c>
      <c r="E76" s="30">
        <f>MIN(1,(A76=Inputs!$C$19)*Inputs!$D$19+(A76=Inputs!$C$20)*Inputs!$D$20+(A76=Inputs!$C$21)*Inputs!$D$21*(A76 &gt;= a_afil))</f>
        <v>0</v>
      </c>
      <c r="F76" s="30">
        <f t="shared" si="14"/>
        <v>1</v>
      </c>
      <c r="G76" s="30">
        <f t="shared" si="15"/>
        <v>1</v>
      </c>
      <c r="H76" s="30">
        <v>0.78448861837387085</v>
      </c>
      <c r="I76" s="37">
        <f t="shared" si="23"/>
        <v>0.57999999999999996</v>
      </c>
      <c r="J76" s="37">
        <f t="shared" si="24"/>
        <v>0.57999999999999996</v>
      </c>
      <c r="K76" s="30">
        <f>1*OR(Inputs!$D$17=$A76,Inputs!$E$17=$A76)*($E76=0)*(F76=1)</f>
        <v>0</v>
      </c>
      <c r="L76" s="30">
        <f>1*OR(Inputs!$D$17=$A76,Inputs!$E$17=$A76)*($E76=0)*(G76=1)</f>
        <v>0</v>
      </c>
      <c r="M76" s="73"/>
      <c r="N76" s="55"/>
      <c r="O76" s="55"/>
      <c r="P76" s="55"/>
      <c r="Q76" s="68">
        <f>MIN($B76,VLOOKUP($A76,Parámetros!$A$2:$J$122,8,FALSE)*UF)*12*I76*$X$2</f>
        <v>739304.30126897059</v>
      </c>
      <c r="R76" s="68">
        <f>MIN($B76,VLOOKUP($A76,Parámetros!$A$2:$J$122,8,FALSE)*UF)*12*J76*$X$2</f>
        <v>739304.30126897059</v>
      </c>
      <c r="S76" s="55">
        <f>MIN($B76,VLOOKUP($A76,Parámetros!$A$2:$J$122,10,FALSE)*UF)*12*I76*$X$3</f>
        <v>1219852.0970938012</v>
      </c>
      <c r="T76" s="55">
        <f>MIN($B76,VLOOKUP($A76,Parámetros!$A$2:$J$122,10,FALSE)*UF)*12*J76*$X$3</f>
        <v>1219852.0970938012</v>
      </c>
      <c r="U76" s="38"/>
      <c r="V76" s="38"/>
      <c r="W76" s="38"/>
      <c r="X76" s="38"/>
      <c r="Y76" s="38"/>
      <c r="Z76" s="54">
        <f t="shared" si="20"/>
        <v>41903270.919984214</v>
      </c>
      <c r="AA76" s="54">
        <f t="shared" si="21"/>
        <v>41903270.919984214</v>
      </c>
      <c r="AB76" s="55">
        <f t="shared" si="25"/>
        <v>49851345.855163217</v>
      </c>
      <c r="AC76" s="55">
        <f t="shared" si="26"/>
        <v>49851345.855163217</v>
      </c>
      <c r="AD76" s="33">
        <f>D76*mmater*Parámetros!$G63*$W$14+AD75*(1+i_noc)</f>
        <v>0</v>
      </c>
      <c r="AE76" s="33">
        <f>E76*12*Parámetros!$F63*$W$14+AE75*(1+i_noc)</f>
        <v>0</v>
      </c>
      <c r="AF76" s="33">
        <f>IFERROR(K76*$B76*VLOOKUP(n_mes_laguna,Parámetros!$Q$2:$S$42,3,FALSE)*$N$14,0)+AF75*(1+i_noc)</f>
        <v>0</v>
      </c>
      <c r="AG76" s="33">
        <f>IFERROR(L76*$B76*VLOOKUP(n_mes_laguna,Parámetros!$Q$2:$S$42,3,FALSE)*$N$14,0)+AG75*(1+i_noc)</f>
        <v>0</v>
      </c>
      <c r="AI76" s="74">
        <f t="shared" si="16"/>
        <v>0</v>
      </c>
      <c r="AJ76" s="74">
        <f t="shared" si="17"/>
        <v>0</v>
      </c>
      <c r="AK76" s="267">
        <f t="shared" si="18"/>
        <v>0</v>
      </c>
      <c r="AL76" s="267">
        <f t="shared" si="19"/>
        <v>0</v>
      </c>
      <c r="AM76" s="39"/>
      <c r="AN76" s="30"/>
      <c r="AO76" s="30"/>
      <c r="AP76" s="30"/>
    </row>
    <row r="77" spans="1:42" x14ac:dyDescent="0.25">
      <c r="A77" s="30">
        <v>2042</v>
      </c>
      <c r="B77" s="33">
        <f>w_uf*UF*Parámetros!C64</f>
        <v>1075496.5589580929</v>
      </c>
      <c r="C77" s="30">
        <f t="shared" si="22"/>
        <v>63</v>
      </c>
      <c r="D77" s="30">
        <f>((A77=Inputs!$C$12)*(Inputs!$D$12) + (A77=Inputs!$C$13)*(Inputs!$D$13) + (A77=Inputs!$C$14)*(Inputs!$D$14)) *(A77 &gt;= a_afil)*(A77&gt;=2024)</f>
        <v>0</v>
      </c>
      <c r="E77" s="30">
        <f>MIN(1,(A77=Inputs!$C$19)*Inputs!$D$19+(A77=Inputs!$C$20)*Inputs!$D$20+(A77=Inputs!$C$21)*Inputs!$D$21*(A77 &gt;= a_afil))</f>
        <v>0</v>
      </c>
      <c r="F77" s="30">
        <f t="shared" si="14"/>
        <v>1</v>
      </c>
      <c r="G77" s="30">
        <f t="shared" si="15"/>
        <v>1</v>
      </c>
      <c r="H77" s="30">
        <v>5.0262808799743652E-2</v>
      </c>
      <c r="I77" s="37">
        <f t="shared" si="23"/>
        <v>0.57999999999999996</v>
      </c>
      <c r="J77" s="37">
        <f t="shared" si="24"/>
        <v>0.57999999999999996</v>
      </c>
      <c r="K77" s="30">
        <f>1*OR(Inputs!$D$17=$A77,Inputs!$E$17=$A77)*($E77=0)*(F77=1)</f>
        <v>0</v>
      </c>
      <c r="L77" s="30">
        <f>1*OR(Inputs!$D$17=$A77,Inputs!$E$17=$A77)*($E77=0)*(G77=1)</f>
        <v>0</v>
      </c>
      <c r="M77" s="73"/>
      <c r="N77" s="55"/>
      <c r="O77" s="55"/>
      <c r="P77" s="55"/>
      <c r="Q77" s="68">
        <f>MIN($B77,VLOOKUP($A77,Parámetros!$A$2:$J$122,8,FALSE)*UF)*12*I77*$X$2</f>
        <v>748545.60503483273</v>
      </c>
      <c r="R77" s="68">
        <f>MIN($B77,VLOOKUP($A77,Parámetros!$A$2:$J$122,8,FALSE)*UF)*12*J77*$X$2</f>
        <v>748545.60503483273</v>
      </c>
      <c r="S77" s="55">
        <f>MIN($B77,VLOOKUP($A77,Parámetros!$A$2:$J$122,10,FALSE)*UF)*12*I77*$X$3</f>
        <v>1235100.2483074737</v>
      </c>
      <c r="T77" s="55">
        <f>MIN($B77,VLOOKUP($A77,Parámetros!$A$2:$J$122,10,FALSE)*UF)*12*J77*$X$3</f>
        <v>1235100.2483074737</v>
      </c>
      <c r="U77" s="38"/>
      <c r="V77" s="38"/>
      <c r="W77" s="38"/>
      <c r="X77" s="38"/>
      <c r="Y77" s="38"/>
      <c r="Z77" s="54">
        <f t="shared" si="20"/>
        <v>44068147.082114518</v>
      </c>
      <c r="AA77" s="54">
        <f t="shared" si="21"/>
        <v>44068147.082114518</v>
      </c>
      <c r="AB77" s="55">
        <f t="shared" si="25"/>
        <v>52705455.102053531</v>
      </c>
      <c r="AC77" s="55">
        <f t="shared" si="26"/>
        <v>52705455.102053531</v>
      </c>
      <c r="AD77" s="33">
        <f>D77*mmater*Parámetros!$G64*$W$14+AD76*(1+i_noc)</f>
        <v>0</v>
      </c>
      <c r="AE77" s="33">
        <f>E77*12*Parámetros!$F64*$W$14+AE76*(1+i_noc)</f>
        <v>0</v>
      </c>
      <c r="AF77" s="33">
        <f>IFERROR(K77*$B77*VLOOKUP(n_mes_laguna,Parámetros!$Q$2:$S$42,3,FALSE)*$N$14,0)+AF76*(1+i_noc)</f>
        <v>0</v>
      </c>
      <c r="AG77" s="33">
        <f>IFERROR(L77*$B77*VLOOKUP(n_mes_laguna,Parámetros!$Q$2:$S$42,3,FALSE)*$N$14,0)+AG76*(1+i_noc)</f>
        <v>0</v>
      </c>
      <c r="AI77" s="74">
        <f t="shared" si="16"/>
        <v>0</v>
      </c>
      <c r="AJ77" s="74">
        <f t="shared" si="17"/>
        <v>0</v>
      </c>
      <c r="AK77" s="267">
        <f t="shared" si="18"/>
        <v>0</v>
      </c>
      <c r="AL77" s="267">
        <f t="shared" si="19"/>
        <v>0</v>
      </c>
      <c r="AM77" s="39"/>
      <c r="AN77" s="30"/>
      <c r="AO77" s="30"/>
      <c r="AP77" s="30"/>
    </row>
    <row r="78" spans="1:42" x14ac:dyDescent="0.25">
      <c r="A78" s="30">
        <v>2043</v>
      </c>
      <c r="B78" s="33">
        <f>w_uf*UF*Parámetros!C65</f>
        <v>1088940.2659450693</v>
      </c>
      <c r="C78" s="30">
        <f t="shared" si="22"/>
        <v>64</v>
      </c>
      <c r="D78" s="30">
        <f>((A78=Inputs!$C$12)*(Inputs!$D$12) + (A78=Inputs!$C$13)*(Inputs!$D$13) + (A78=Inputs!$C$14)*(Inputs!$D$14)) *(A78 &gt;= a_afil)*(A78&gt;=2024)</f>
        <v>0</v>
      </c>
      <c r="E78" s="30">
        <f>MIN(1,(A78=Inputs!$C$19)*Inputs!$D$19+(A78=Inputs!$C$20)*Inputs!$D$20+(A78=Inputs!$C$21)*Inputs!$D$21*(A78 &gt;= a_afil))</f>
        <v>0</v>
      </c>
      <c r="F78" s="30">
        <f t="shared" si="14"/>
        <v>1</v>
      </c>
      <c r="G78" s="30">
        <f t="shared" si="15"/>
        <v>1</v>
      </c>
      <c r="H78" s="30">
        <v>0.51801592111587524</v>
      </c>
      <c r="I78" s="37">
        <f t="shared" si="23"/>
        <v>0.57999999999999996</v>
      </c>
      <c r="J78" s="37">
        <f t="shared" si="24"/>
        <v>0.57999999999999996</v>
      </c>
      <c r="K78" s="30">
        <f>1*OR(Inputs!$D$17=$A78,Inputs!$E$17=$A78)*($E78=0)*(F78=1)</f>
        <v>0</v>
      </c>
      <c r="L78" s="30">
        <f>1*OR(Inputs!$D$17=$A78,Inputs!$E$17=$A78)*($E78=0)*(G78=1)</f>
        <v>0</v>
      </c>
      <c r="M78" s="73"/>
      <c r="N78" s="55"/>
      <c r="O78" s="55"/>
      <c r="P78" s="55"/>
      <c r="Q78" s="68">
        <f>MIN($B78,VLOOKUP($A78,Parámetros!$A$2:$J$122,8,FALSE)*UF)*12*I78*$X$2</f>
        <v>757902.42509776819</v>
      </c>
      <c r="R78" s="68">
        <f>MIN($B78,VLOOKUP($A78,Parámetros!$A$2:$J$122,8,FALSE)*UF)*12*J78*$X$2</f>
        <v>757902.42509776819</v>
      </c>
      <c r="S78" s="55">
        <f>MIN($B78,VLOOKUP($A78,Parámetros!$A$2:$J$122,10,FALSE)*UF)*12*I78*$X$3</f>
        <v>1250539.0014113171</v>
      </c>
      <c r="T78" s="55">
        <f>MIN($B78,VLOOKUP($A78,Parámetros!$A$2:$J$122,10,FALSE)*UF)*12*J78*$X$3</f>
        <v>1250539.0014113171</v>
      </c>
      <c r="U78" s="38"/>
      <c r="V78" s="38"/>
      <c r="W78" s="38"/>
      <c r="X78" s="38"/>
      <c r="Y78" s="38"/>
      <c r="Z78" s="54">
        <f t="shared" si="20"/>
        <v>46315552.87858776</v>
      </c>
      <c r="AA78" s="54">
        <f t="shared" si="21"/>
        <v>46315552.87858776</v>
      </c>
      <c r="AB78" s="55">
        <f t="shared" si="25"/>
        <v>55667695.254574098</v>
      </c>
      <c r="AC78" s="55">
        <f t="shared" si="26"/>
        <v>55667695.254574098</v>
      </c>
      <c r="AD78" s="33">
        <f>D78*mmater*Parámetros!$G65*$W$14+AD77*(1+i_noc)</f>
        <v>0</v>
      </c>
      <c r="AE78" s="33">
        <f>E78*12*Parámetros!$F65*$W$14+AE77*(1+i_noc)</f>
        <v>0</v>
      </c>
      <c r="AF78" s="33">
        <f>IFERROR(K78*$B78*VLOOKUP(n_mes_laguna,Parámetros!$Q$2:$S$42,3,FALSE)*$N$14,0)+AF77*(1+i_noc)</f>
        <v>0</v>
      </c>
      <c r="AG78" s="33">
        <f>IFERROR(L78*$B78*VLOOKUP(n_mes_laguna,Parámetros!$Q$2:$S$42,3,FALSE)*$N$14,0)+AG77*(1+i_noc)</f>
        <v>0</v>
      </c>
      <c r="AI78" s="74">
        <f t="shared" si="16"/>
        <v>0</v>
      </c>
      <c r="AJ78" s="74">
        <f t="shared" si="17"/>
        <v>0</v>
      </c>
      <c r="AK78" s="267">
        <f t="shared" si="18"/>
        <v>0</v>
      </c>
      <c r="AL78" s="267">
        <f t="shared" si="19"/>
        <v>0</v>
      </c>
      <c r="AM78" s="39"/>
      <c r="AN78" s="30"/>
      <c r="AO78" s="30"/>
      <c r="AP78" s="30"/>
    </row>
    <row r="79" spans="1:42" x14ac:dyDescent="0.25">
      <c r="A79" s="30">
        <v>2044</v>
      </c>
      <c r="B79" s="33">
        <f>w_uf*UF*Parámetros!C66</f>
        <v>1102552.0192693826</v>
      </c>
      <c r="C79" s="30">
        <f t="shared" si="22"/>
        <v>65</v>
      </c>
      <c r="D79" s="30">
        <f>((A79=Inputs!$C$12)*(Inputs!$D$12) + (A79=Inputs!$C$13)*(Inputs!$D$13) + (A79=Inputs!$C$14)*(Inputs!$D$14)) *(A79 &gt;= a_afil)*(A79&gt;=2024)</f>
        <v>0</v>
      </c>
      <c r="E79" s="30">
        <f>MIN(1,(A79=Inputs!$C$19)*Inputs!$D$19+(A79=Inputs!$C$20)*Inputs!$D$20+(A79=Inputs!$C$21)*Inputs!$D$21*(A79 &gt;= a_afil))</f>
        <v>0</v>
      </c>
      <c r="F79" s="30">
        <f t="shared" si="14"/>
        <v>0</v>
      </c>
      <c r="G79" s="30">
        <f t="shared" si="15"/>
        <v>0</v>
      </c>
      <c r="H79" s="30">
        <v>0.75702953338623047</v>
      </c>
      <c r="I79" s="37">
        <f t="shared" si="23"/>
        <v>0</v>
      </c>
      <c r="J79" s="37">
        <f t="shared" si="24"/>
        <v>0</v>
      </c>
      <c r="K79" s="30">
        <f>1*OR(Inputs!$D$17=$A79,Inputs!$E$17=$A79)*($E79=0)*(F79=1)</f>
        <v>0</v>
      </c>
      <c r="L79" s="30">
        <f>1*OR(Inputs!$D$17=$A79,Inputs!$E$17=$A79)*($E79=0)*(G79=1)</f>
        <v>0</v>
      </c>
      <c r="M79" s="73"/>
      <c r="N79" s="55"/>
      <c r="O79" s="55"/>
      <c r="P79" s="55"/>
      <c r="Q79" s="68">
        <f>MIN($B79,VLOOKUP($A79,Parámetros!$A$2:$J$122,8,FALSE)*UF)*12*I79*$X$2</f>
        <v>0</v>
      </c>
      <c r="R79" s="68">
        <f>MIN($B79,VLOOKUP($A79,Parámetros!$A$2:$J$122,8,FALSE)*UF)*12*J79*$X$2</f>
        <v>0</v>
      </c>
      <c r="S79" s="55">
        <f>MIN($B79,VLOOKUP($A79,Parámetros!$A$2:$J$122,10,FALSE)*UF)*12*I79*$X$3</f>
        <v>0</v>
      </c>
      <c r="T79" s="55">
        <f>MIN($B79,VLOOKUP($A79,Parámetros!$A$2:$J$122,10,FALSE)*UF)*12*J79*$X$3</f>
        <v>0</v>
      </c>
      <c r="U79" s="38"/>
      <c r="V79" s="38"/>
      <c r="W79" s="38"/>
      <c r="X79" s="38"/>
      <c r="Y79" s="38"/>
      <c r="Z79" s="54">
        <f t="shared" si="20"/>
        <v>47881018.565884031</v>
      </c>
      <c r="AA79" s="54">
        <f t="shared" si="21"/>
        <v>47881018.565884031</v>
      </c>
      <c r="AB79" s="55">
        <f t="shared" si="25"/>
        <v>57475600.29708536</v>
      </c>
      <c r="AC79" s="55">
        <f t="shared" si="26"/>
        <v>57475600.29708536</v>
      </c>
      <c r="AD79" s="33">
        <f>D79*mmater*Parámetros!$G66*$W$14+AD78*(1+i_noc)</f>
        <v>0</v>
      </c>
      <c r="AE79" s="33">
        <f>E79*12*Parámetros!$F66*$W$14+AE78*(1+i_noc)</f>
        <v>0</v>
      </c>
      <c r="AF79" s="33">
        <f>IFERROR(K79*$B79*VLOOKUP(n_mes_laguna,Parámetros!$Q$2:$S$42,3,FALSE)*$N$14,0)+AF78*(1+i_noc)</f>
        <v>0</v>
      </c>
      <c r="AG79" s="33">
        <f>IFERROR(L79*$B79*VLOOKUP(n_mes_laguna,Parámetros!$Q$2:$S$42,3,FALSE)*$N$14,0)+AG78*(1+i_noc)</f>
        <v>0</v>
      </c>
      <c r="AI79" s="74">
        <f t="shared" si="16"/>
        <v>249562.18907357016</v>
      </c>
      <c r="AJ79" s="74">
        <f t="shared" si="17"/>
        <v>222428.64055623682</v>
      </c>
      <c r="AK79" s="267">
        <f t="shared" si="18"/>
        <v>299570.41554413165</v>
      </c>
      <c r="AL79" s="267">
        <f t="shared" si="19"/>
        <v>266999.7427402953</v>
      </c>
      <c r="AM79" s="39"/>
      <c r="AN79" s="30"/>
      <c r="AO79" s="30"/>
      <c r="AP79" s="30"/>
    </row>
    <row r="80" spans="1:42" x14ac:dyDescent="0.25">
      <c r="A80" s="30">
        <v>2045</v>
      </c>
      <c r="B80" s="33">
        <f>w_uf*UF*Parámetros!C67</f>
        <v>1116333.9195102497</v>
      </c>
      <c r="C80" s="30">
        <f t="shared" ref="C80:C111" si="27">IF(AND(A80-a_nac&lt;=110,A80-a_nac&gt;0),A80-a_nac,"")</f>
        <v>66</v>
      </c>
      <c r="D80" s="30">
        <f>((A80=Inputs!$C$12)*(Inputs!$D$12) + (A80=Inputs!$C$13)*(Inputs!$D$13) + (A80=Inputs!$C$14)*(Inputs!$D$14)) *(A80 &gt;= a_afil)*(A80&gt;=2024)</f>
        <v>0</v>
      </c>
      <c r="E80" s="30">
        <f>MIN(1,(A80=Inputs!$C$19)*Inputs!$D$19+(A80=Inputs!$C$20)*Inputs!$D$20+(A80=Inputs!$C$21)*Inputs!$D$21*(A80 &gt;= a_afil))</f>
        <v>0</v>
      </c>
      <c r="F80" s="30">
        <f t="shared" ref="F80:F111" si="28" xml:space="preserve"> (C80&lt;edad_ret_h) * (A80&gt;=a_afil)</f>
        <v>0</v>
      </c>
      <c r="G80" s="30">
        <f t="shared" ref="G80:G111" si="29" xml:space="preserve"> (C80&lt;edad_ret_m) * (A80&gt;=a_afil)</f>
        <v>0</v>
      </c>
      <c r="H80" s="30">
        <v>0.80066984891891479</v>
      </c>
      <c r="I80" s="37">
        <f t="shared" si="23"/>
        <v>0</v>
      </c>
      <c r="J80" s="37">
        <f t="shared" si="24"/>
        <v>0</v>
      </c>
      <c r="K80" s="30">
        <f>1*OR(Inputs!$D$17=$A80,Inputs!$E$17=$A80)*($E80=0)*(F80=1)</f>
        <v>0</v>
      </c>
      <c r="L80" s="30">
        <f>1*OR(Inputs!$D$17=$A80,Inputs!$E$17=$A80)*($E80=0)*(G80=1)</f>
        <v>0</v>
      </c>
      <c r="M80" s="73"/>
      <c r="N80" s="55"/>
      <c r="O80" s="55"/>
      <c r="P80" s="55"/>
      <c r="Q80" s="68">
        <f>MIN($B80,VLOOKUP($A80,Parámetros!$A$2:$J$122,8,FALSE)*UF)*12*I80*$X$2</f>
        <v>0</v>
      </c>
      <c r="R80" s="68">
        <f>MIN($B80,VLOOKUP($A80,Parámetros!$A$2:$J$122,8,FALSE)*UF)*12*J80*$X$2</f>
        <v>0</v>
      </c>
      <c r="S80" s="55">
        <f>MIN($B80,VLOOKUP($A80,Parámetros!$A$2:$J$122,10,FALSE)*UF)*12*I80*$X$3</f>
        <v>0</v>
      </c>
      <c r="T80" s="55">
        <f>MIN($B80,VLOOKUP($A80,Parámetros!$A$2:$J$122,10,FALSE)*UF)*12*J80*$X$3</f>
        <v>0</v>
      </c>
      <c r="U80" s="38"/>
      <c r="V80" s="38"/>
      <c r="W80" s="38"/>
      <c r="X80" s="38"/>
      <c r="Y80" s="38"/>
      <c r="Z80" s="54">
        <f t="shared" si="20"/>
        <v>0</v>
      </c>
      <c r="AA80" s="54">
        <f t="shared" si="21"/>
        <v>0</v>
      </c>
      <c r="AB80" s="55">
        <f t="shared" si="25"/>
        <v>0</v>
      </c>
      <c r="AC80" s="55">
        <f t="shared" si="26"/>
        <v>0</v>
      </c>
      <c r="AD80" s="33">
        <f>D80*mmater*Parámetros!$G67*$W$14+AD79*(1+i_noc)</f>
        <v>0</v>
      </c>
      <c r="AE80" s="33">
        <f>E80*12*Parámetros!$F67*$W$14+AE79*(1+i_noc)</f>
        <v>0</v>
      </c>
      <c r="AF80" s="33">
        <f>IFERROR(K80*$B80*VLOOKUP(n_mes_laguna,Parámetros!$Q$2:$S$42,3,FALSE)*$N$14,0)+AF79*(1+i_noc)</f>
        <v>0</v>
      </c>
      <c r="AG80" s="33">
        <f>IFERROR(L80*$B80*VLOOKUP(n_mes_laguna,Parámetros!$Q$2:$S$42,3,FALSE)*$N$14,0)+AG79*(1+i_noc)</f>
        <v>0</v>
      </c>
      <c r="AI80" s="74">
        <f t="shared" ref="AI80:AI111" si="30">($A80=D$9)*Z80/(12*_xlfn.XLOOKUP(AI$15,sexo_cnu,cnu))</f>
        <v>0</v>
      </c>
      <c r="AJ80" s="74">
        <f t="shared" ref="AJ80:AJ111" si="31">($A80=E$9)*AA80/(12*_xlfn.XLOOKUP(AJ$15,sexo_cnu,cnu))</f>
        <v>0</v>
      </c>
      <c r="AK80" s="267">
        <f t="shared" ref="AK80:AK111" si="32">($A80=D$9)*AB80/(12*_xlfn.XLOOKUP(AK$15,sexo_cnu,cnu))</f>
        <v>0</v>
      </c>
      <c r="AL80" s="267">
        <f t="shared" ref="AL80:AL111" si="33">($A80=E$9)*AC80/(12*_xlfn.XLOOKUP(AL$15,sexo_cnu,cnu))</f>
        <v>0</v>
      </c>
      <c r="AM80" s="39"/>
      <c r="AN80" s="30"/>
      <c r="AO80" s="30"/>
      <c r="AP80" s="30"/>
    </row>
    <row r="81" spans="1:42" x14ac:dyDescent="0.25">
      <c r="A81" s="30">
        <v>2046</v>
      </c>
      <c r="B81" s="33">
        <f>w_uf*UF*Parámetros!C68</f>
        <v>1130288.0935041278</v>
      </c>
      <c r="C81" s="30">
        <f t="shared" si="27"/>
        <v>67</v>
      </c>
      <c r="D81" s="30">
        <f>((A81=Inputs!$C$12)*(Inputs!$D$12) + (A81=Inputs!$C$13)*(Inputs!$D$13) + (A81=Inputs!$C$14)*(Inputs!$D$14)) *(A81 &gt;= a_afil)*(A81&gt;=2024)</f>
        <v>0</v>
      </c>
      <c r="E81" s="30">
        <f>MIN(1,(A81=Inputs!$C$19)*Inputs!$D$19+(A81=Inputs!$C$20)*Inputs!$D$20+(A81=Inputs!$C$21)*Inputs!$D$21*(A81 &gt;= a_afil))</f>
        <v>0</v>
      </c>
      <c r="F81" s="30">
        <f t="shared" si="28"/>
        <v>0</v>
      </c>
      <c r="G81" s="30">
        <f t="shared" si="29"/>
        <v>0</v>
      </c>
      <c r="H81" s="30">
        <v>0.32520544528961182</v>
      </c>
      <c r="I81" s="37">
        <f t="shared" si="23"/>
        <v>0</v>
      </c>
      <c r="J81" s="37">
        <f t="shared" si="24"/>
        <v>0</v>
      </c>
      <c r="K81" s="30">
        <f>1*OR(Inputs!$D$17=$A81,Inputs!$E$17=$A81)*($E81=0)*(F81=1)</f>
        <v>0</v>
      </c>
      <c r="L81" s="30">
        <f>1*OR(Inputs!$D$17=$A81,Inputs!$E$17=$A81)*($E81=0)*(G81=1)</f>
        <v>0</v>
      </c>
      <c r="M81" s="73"/>
      <c r="N81" s="55"/>
      <c r="O81" s="55"/>
      <c r="P81" s="55"/>
      <c r="Q81" s="68">
        <f>MIN($B81,VLOOKUP($A81,Parámetros!$A$2:$J$122,8,FALSE)*UF)*12*I81*$X$2</f>
        <v>0</v>
      </c>
      <c r="R81" s="68">
        <f>MIN($B81,VLOOKUP($A81,Parámetros!$A$2:$J$122,8,FALSE)*UF)*12*J81*$X$2</f>
        <v>0</v>
      </c>
      <c r="S81" s="55">
        <f>MIN($B81,VLOOKUP($A81,Parámetros!$A$2:$J$122,10,FALSE)*UF)*12*I81*$X$3</f>
        <v>0</v>
      </c>
      <c r="T81" s="55">
        <f>MIN($B81,VLOOKUP($A81,Parámetros!$A$2:$J$122,10,FALSE)*UF)*12*J81*$X$3</f>
        <v>0</v>
      </c>
      <c r="U81" s="38"/>
      <c r="V81" s="38"/>
      <c r="W81" s="38"/>
      <c r="X81" s="38"/>
      <c r="Y81" s="38"/>
      <c r="Z81" s="54">
        <f t="shared" ref="Z81:Z112" si="34">F80*Z80*(1+_xlfn.XLOOKUP(MIN(2024,$A80),agnos_rent,rent_base))+Q81</f>
        <v>0</v>
      </c>
      <c r="AA81" s="54">
        <f t="shared" ref="AA81:AA112" si="35">G80*AA80*(1+_xlfn.XLOOKUP(MIN(2024,$A80),agnos_rent,rent_base))+R81</f>
        <v>0</v>
      </c>
      <c r="AB81" s="55">
        <f t="shared" si="25"/>
        <v>0</v>
      </c>
      <c r="AC81" s="55">
        <f t="shared" si="26"/>
        <v>0</v>
      </c>
      <c r="AD81" s="33">
        <f>D81*mmater*Parámetros!$G68*$W$14+AD80*(1+i_noc)</f>
        <v>0</v>
      </c>
      <c r="AE81" s="33">
        <f>E81*12*Parámetros!$F68*$W$14+AE80*(1+i_noc)</f>
        <v>0</v>
      </c>
      <c r="AF81" s="33">
        <f>IFERROR(K81*$B81*VLOOKUP(n_mes_laguna,Parámetros!$Q$2:$S$42,3,FALSE)*$N$14,0)+AF80*(1+i_noc)</f>
        <v>0</v>
      </c>
      <c r="AG81" s="33">
        <f>IFERROR(L81*$B81*VLOOKUP(n_mes_laguna,Parámetros!$Q$2:$S$42,3,FALSE)*$N$14,0)+AG80*(1+i_noc)</f>
        <v>0</v>
      </c>
      <c r="AI81" s="74">
        <f t="shared" si="30"/>
        <v>0</v>
      </c>
      <c r="AJ81" s="74">
        <f t="shared" si="31"/>
        <v>0</v>
      </c>
      <c r="AK81" s="267">
        <f t="shared" si="32"/>
        <v>0</v>
      </c>
      <c r="AL81" s="267">
        <f t="shared" si="33"/>
        <v>0</v>
      </c>
      <c r="AM81" s="39"/>
      <c r="AN81" s="30"/>
      <c r="AO81" s="30"/>
      <c r="AP81" s="30"/>
    </row>
    <row r="82" spans="1:42" x14ac:dyDescent="0.25">
      <c r="A82" s="30">
        <v>2047</v>
      </c>
      <c r="B82" s="33">
        <f>w_uf*UF*Parámetros!C69</f>
        <v>1144416.6946729294</v>
      </c>
      <c r="C82" s="30">
        <f t="shared" si="27"/>
        <v>68</v>
      </c>
      <c r="D82" s="30">
        <f>((A82=Inputs!$C$12)*(Inputs!$D$12) + (A82=Inputs!$C$13)*(Inputs!$D$13) + (A82=Inputs!$C$14)*(Inputs!$D$14)) *(A82 &gt;= a_afil)*(A82&gt;=2024)</f>
        <v>0</v>
      </c>
      <c r="E82" s="30">
        <f>MIN(1,(A82=Inputs!$C$19)*Inputs!$D$19+(A82=Inputs!$C$20)*Inputs!$D$20+(A82=Inputs!$C$21)*Inputs!$D$21*(A82 &gt;= a_afil))</f>
        <v>0</v>
      </c>
      <c r="F82" s="30">
        <f t="shared" si="28"/>
        <v>0</v>
      </c>
      <c r="G82" s="30">
        <f t="shared" si="29"/>
        <v>0</v>
      </c>
      <c r="H82" s="30">
        <v>0.97272902727127075</v>
      </c>
      <c r="I82" s="37">
        <f t="shared" si="23"/>
        <v>0</v>
      </c>
      <c r="J82" s="37">
        <f t="shared" si="24"/>
        <v>0</v>
      </c>
      <c r="K82" s="30">
        <f>1*OR(Inputs!$D$17=$A82,Inputs!$E$17=$A82)*($E82=0)*(F82=1)</f>
        <v>0</v>
      </c>
      <c r="L82" s="30">
        <f>1*OR(Inputs!$D$17=$A82,Inputs!$E$17=$A82)*($E82=0)*(G82=1)</f>
        <v>0</v>
      </c>
      <c r="M82" s="73"/>
      <c r="N82" s="55"/>
      <c r="O82" s="55"/>
      <c r="P82" s="55"/>
      <c r="Q82" s="68">
        <f>MIN($B82,VLOOKUP($A82,Parámetros!$A$2:$J$122,8,FALSE)*UF)*12*I82*$X$2</f>
        <v>0</v>
      </c>
      <c r="R82" s="68">
        <f>MIN($B82,VLOOKUP($A82,Parámetros!$A$2:$J$122,8,FALSE)*UF)*12*J82*$X$2</f>
        <v>0</v>
      </c>
      <c r="S82" s="55">
        <f>MIN($B82,VLOOKUP($A82,Parámetros!$A$2:$J$122,10,FALSE)*UF)*12*I82*$X$3</f>
        <v>0</v>
      </c>
      <c r="T82" s="55">
        <f>MIN($B82,VLOOKUP($A82,Parámetros!$A$2:$J$122,10,FALSE)*UF)*12*J82*$X$3</f>
        <v>0</v>
      </c>
      <c r="U82" s="38"/>
      <c r="V82" s="38"/>
      <c r="W82" s="38"/>
      <c r="X82" s="38"/>
      <c r="Y82" s="38"/>
      <c r="Z82" s="54">
        <f t="shared" si="34"/>
        <v>0</v>
      </c>
      <c r="AA82" s="54">
        <f t="shared" si="35"/>
        <v>0</v>
      </c>
      <c r="AB82" s="55">
        <f t="shared" si="25"/>
        <v>0</v>
      </c>
      <c r="AC82" s="55">
        <f t="shared" si="26"/>
        <v>0</v>
      </c>
      <c r="AD82" s="33">
        <f>D82*mmater*Parámetros!$G69*$W$14+AD81*(1+i_noc)</f>
        <v>0</v>
      </c>
      <c r="AE82" s="33">
        <f>E82*12*Parámetros!$F69*$W$14+AE81*(1+i_noc)</f>
        <v>0</v>
      </c>
      <c r="AF82" s="33">
        <f>IFERROR(K82*$B82*VLOOKUP(n_mes_laguna,Parámetros!$Q$2:$S$42,3,FALSE)*$N$14,0)+AF81*(1+i_noc)</f>
        <v>0</v>
      </c>
      <c r="AG82" s="33">
        <f>IFERROR(L82*$B82*VLOOKUP(n_mes_laguna,Parámetros!$Q$2:$S$42,3,FALSE)*$N$14,0)+AG81*(1+i_noc)</f>
        <v>0</v>
      </c>
      <c r="AI82" s="74">
        <f t="shared" si="30"/>
        <v>0</v>
      </c>
      <c r="AJ82" s="74">
        <f t="shared" si="31"/>
        <v>0</v>
      </c>
      <c r="AK82" s="267">
        <f t="shared" si="32"/>
        <v>0</v>
      </c>
      <c r="AL82" s="267">
        <f t="shared" si="33"/>
        <v>0</v>
      </c>
      <c r="AM82" s="39"/>
      <c r="AN82" s="30"/>
      <c r="AO82" s="30"/>
      <c r="AP82" s="30"/>
    </row>
    <row r="83" spans="1:42" x14ac:dyDescent="0.25">
      <c r="A83" s="30">
        <v>2048</v>
      </c>
      <c r="B83" s="33">
        <f>w_uf*UF*Parámetros!C70</f>
        <v>1158721.9033563409</v>
      </c>
      <c r="C83" s="30">
        <f t="shared" si="27"/>
        <v>69</v>
      </c>
      <c r="D83" s="30">
        <f>((A83=Inputs!$C$12)*(Inputs!$D$12) + (A83=Inputs!$C$13)*(Inputs!$D$13) + (A83=Inputs!$C$14)*(Inputs!$D$14)) *(A83 &gt;= a_afil)*(A83&gt;=2024)</f>
        <v>0</v>
      </c>
      <c r="E83" s="30">
        <f>MIN(1,(A83=Inputs!$C$19)*Inputs!$D$19+(A83=Inputs!$C$20)*Inputs!$D$20+(A83=Inputs!$C$21)*Inputs!$D$21*(A83 &gt;= a_afil))</f>
        <v>0</v>
      </c>
      <c r="F83" s="30">
        <f t="shared" si="28"/>
        <v>0</v>
      </c>
      <c r="G83" s="30">
        <f t="shared" si="29"/>
        <v>0</v>
      </c>
      <c r="H83" s="30">
        <v>0.80426716804504395</v>
      </c>
      <c r="I83" s="37">
        <f t="shared" si="23"/>
        <v>0</v>
      </c>
      <c r="J83" s="37">
        <f t="shared" si="24"/>
        <v>0</v>
      </c>
      <c r="K83" s="30">
        <f>1*OR(Inputs!$D$17=$A83,Inputs!$E$17=$A83)*($E83=0)*(F83=1)</f>
        <v>0</v>
      </c>
      <c r="L83" s="30">
        <f>1*OR(Inputs!$D$17=$A83,Inputs!$E$17=$A83)*($E83=0)*(G83=1)</f>
        <v>0</v>
      </c>
      <c r="M83" s="73"/>
      <c r="N83" s="55"/>
      <c r="O83" s="55"/>
      <c r="P83" s="55"/>
      <c r="Q83" s="68">
        <f>MIN($B83,VLOOKUP($A83,Parámetros!$A$2:$J$122,8,FALSE)*UF)*12*I83*$X$2</f>
        <v>0</v>
      </c>
      <c r="R83" s="68">
        <f>MIN($B83,VLOOKUP($A83,Parámetros!$A$2:$J$122,8,FALSE)*UF)*12*J83*$X$2</f>
        <v>0</v>
      </c>
      <c r="S83" s="55">
        <f>MIN($B83,VLOOKUP($A83,Parámetros!$A$2:$J$122,10,FALSE)*UF)*12*I83*$X$3</f>
        <v>0</v>
      </c>
      <c r="T83" s="55">
        <f>MIN($B83,VLOOKUP($A83,Parámetros!$A$2:$J$122,10,FALSE)*UF)*12*J83*$X$3</f>
        <v>0</v>
      </c>
      <c r="U83" s="38"/>
      <c r="V83" s="38"/>
      <c r="W83" s="38"/>
      <c r="X83" s="38"/>
      <c r="Y83" s="38"/>
      <c r="Z83" s="54">
        <f t="shared" si="34"/>
        <v>0</v>
      </c>
      <c r="AA83" s="54">
        <f t="shared" si="35"/>
        <v>0</v>
      </c>
      <c r="AB83" s="55">
        <f t="shared" si="25"/>
        <v>0</v>
      </c>
      <c r="AC83" s="55">
        <f t="shared" si="26"/>
        <v>0</v>
      </c>
      <c r="AD83" s="33">
        <f>D83*mmater*Parámetros!$G70*$W$14+AD82*(1+i_noc)</f>
        <v>0</v>
      </c>
      <c r="AE83" s="33">
        <f>E83*12*Parámetros!$F70*$W$14+AE82*(1+i_noc)</f>
        <v>0</v>
      </c>
      <c r="AF83" s="33">
        <f>IFERROR(K83*$B83*VLOOKUP(n_mes_laguna,Parámetros!$Q$2:$S$42,3,FALSE)*$N$14,0)+AF82*(1+i_noc)</f>
        <v>0</v>
      </c>
      <c r="AG83" s="33">
        <f>IFERROR(L83*$B83*VLOOKUP(n_mes_laguna,Parámetros!$Q$2:$S$42,3,FALSE)*$N$14,0)+AG82*(1+i_noc)</f>
        <v>0</v>
      </c>
      <c r="AI83" s="74">
        <f t="shared" si="30"/>
        <v>0</v>
      </c>
      <c r="AJ83" s="74">
        <f t="shared" si="31"/>
        <v>0</v>
      </c>
      <c r="AK83" s="267">
        <f t="shared" si="32"/>
        <v>0</v>
      </c>
      <c r="AL83" s="267">
        <f t="shared" si="33"/>
        <v>0</v>
      </c>
      <c r="AM83" s="39"/>
      <c r="AN83" s="30"/>
      <c r="AO83" s="30"/>
      <c r="AP83" s="30"/>
    </row>
    <row r="84" spans="1:42" x14ac:dyDescent="0.25">
      <c r="A84" s="30">
        <v>2049</v>
      </c>
      <c r="B84" s="33">
        <f>w_uf*UF*Parámetros!C71</f>
        <v>1173205.9271482951</v>
      </c>
      <c r="C84" s="30">
        <f t="shared" si="27"/>
        <v>70</v>
      </c>
      <c r="D84" s="30">
        <f>((A84=Inputs!$C$12)*(Inputs!$D$12) + (A84=Inputs!$C$13)*(Inputs!$D$13) + (A84=Inputs!$C$14)*(Inputs!$D$14)) *(A84 &gt;= a_afil)*(A84&gt;=2024)</f>
        <v>0</v>
      </c>
      <c r="E84" s="30">
        <f>MIN(1,(A84=Inputs!$C$19)*Inputs!$D$19+(A84=Inputs!$C$20)*Inputs!$D$20+(A84=Inputs!$C$21)*Inputs!$D$21*(A84 &gt;= a_afil))</f>
        <v>0</v>
      </c>
      <c r="F84" s="30">
        <f t="shared" si="28"/>
        <v>0</v>
      </c>
      <c r="G84" s="30">
        <f t="shared" si="29"/>
        <v>0</v>
      </c>
      <c r="H84" s="30">
        <v>0.67482608556747437</v>
      </c>
      <c r="I84" s="37">
        <f t="shared" si="23"/>
        <v>0</v>
      </c>
      <c r="J84" s="37">
        <f t="shared" si="24"/>
        <v>0</v>
      </c>
      <c r="K84" s="30">
        <f>1*OR(Inputs!$D$17=$A84,Inputs!$E$17=$A84)*($E84=0)*(F84=1)</f>
        <v>0</v>
      </c>
      <c r="L84" s="30">
        <f>1*OR(Inputs!$D$17=$A84,Inputs!$E$17=$A84)*($E84=0)*(G84=1)</f>
        <v>0</v>
      </c>
      <c r="M84" s="73"/>
      <c r="N84" s="55"/>
      <c r="O84" s="55"/>
      <c r="P84" s="55"/>
      <c r="Q84" s="68">
        <f>MIN($B84,VLOOKUP($A84,Parámetros!$A$2:$J$122,8,FALSE)*UF)*12*I84*$X$2</f>
        <v>0</v>
      </c>
      <c r="R84" s="68">
        <f>MIN($B84,VLOOKUP($A84,Parámetros!$A$2:$J$122,8,FALSE)*UF)*12*J84*$X$2</f>
        <v>0</v>
      </c>
      <c r="S84" s="55">
        <f>MIN($B84,VLOOKUP($A84,Parámetros!$A$2:$J$122,10,FALSE)*UF)*12*I84*$X$3</f>
        <v>0</v>
      </c>
      <c r="T84" s="55">
        <f>MIN($B84,VLOOKUP($A84,Parámetros!$A$2:$J$122,10,FALSE)*UF)*12*J84*$X$3</f>
        <v>0</v>
      </c>
      <c r="U84" s="38"/>
      <c r="V84" s="38"/>
      <c r="W84" s="38"/>
      <c r="X84" s="38"/>
      <c r="Y84" s="38"/>
      <c r="Z84" s="54">
        <f t="shared" si="34"/>
        <v>0</v>
      </c>
      <c r="AA84" s="54">
        <f t="shared" si="35"/>
        <v>0</v>
      </c>
      <c r="AB84" s="55">
        <f t="shared" si="25"/>
        <v>0</v>
      </c>
      <c r="AC84" s="55">
        <f t="shared" si="26"/>
        <v>0</v>
      </c>
      <c r="AD84" s="33">
        <f>D84*mmater*Parámetros!$G71*$W$14+AD83*(1+i_noc)</f>
        <v>0</v>
      </c>
      <c r="AE84" s="33">
        <f>E84*12*Parámetros!$F71*$W$14+AE83*(1+i_noc)</f>
        <v>0</v>
      </c>
      <c r="AF84" s="33">
        <f>IFERROR(K84*$B84*VLOOKUP(n_mes_laguna,Parámetros!$Q$2:$S$42,3,FALSE)*$N$14,0)+AF83*(1+i_noc)</f>
        <v>0</v>
      </c>
      <c r="AG84" s="33">
        <f>IFERROR(L84*$B84*VLOOKUP(n_mes_laguna,Parámetros!$Q$2:$S$42,3,FALSE)*$N$14,0)+AG83*(1+i_noc)</f>
        <v>0</v>
      </c>
      <c r="AI84" s="74">
        <f t="shared" si="30"/>
        <v>0</v>
      </c>
      <c r="AJ84" s="74">
        <f t="shared" si="31"/>
        <v>0</v>
      </c>
      <c r="AK84" s="267">
        <f t="shared" si="32"/>
        <v>0</v>
      </c>
      <c r="AL84" s="267">
        <f t="shared" si="33"/>
        <v>0</v>
      </c>
      <c r="AM84" s="39"/>
      <c r="AN84" s="30"/>
      <c r="AO84" s="30"/>
      <c r="AP84" s="30"/>
    </row>
    <row r="85" spans="1:42" x14ac:dyDescent="0.25">
      <c r="A85" s="30">
        <v>2050</v>
      </c>
      <c r="B85" s="33">
        <f>w_uf*UF*Parámetros!C72</f>
        <v>1187871.0012376488</v>
      </c>
      <c r="C85" s="30">
        <f t="shared" si="27"/>
        <v>71</v>
      </c>
      <c r="D85" s="30">
        <f>((A85=Inputs!$C$12)*(Inputs!$D$12) + (A85=Inputs!$C$13)*(Inputs!$D$13) + (A85=Inputs!$C$14)*(Inputs!$D$14)) *(A85 &gt;= a_afil)*(A85&gt;=2024)</f>
        <v>0</v>
      </c>
      <c r="E85" s="30">
        <f>MIN(1,(A85=Inputs!$C$19)*Inputs!$D$19+(A85=Inputs!$C$20)*Inputs!$D$20+(A85=Inputs!$C$21)*Inputs!$D$21*(A85 &gt;= a_afil))</f>
        <v>0</v>
      </c>
      <c r="F85" s="30">
        <f t="shared" si="28"/>
        <v>0</v>
      </c>
      <c r="G85" s="30">
        <f t="shared" si="29"/>
        <v>0</v>
      </c>
      <c r="H85" s="30">
        <v>0.90512931346893311</v>
      </c>
      <c r="I85" s="37">
        <f t="shared" si="23"/>
        <v>0</v>
      </c>
      <c r="J85" s="37">
        <f t="shared" si="24"/>
        <v>0</v>
      </c>
      <c r="K85" s="30">
        <f>1*OR(Inputs!$D$17=$A85,Inputs!$E$17=$A85)*($E85=0)*(F85=1)</f>
        <v>0</v>
      </c>
      <c r="L85" s="30">
        <f>1*OR(Inputs!$D$17=$A85,Inputs!$E$17=$A85)*($E85=0)*(G85=1)</f>
        <v>0</v>
      </c>
      <c r="M85" s="73"/>
      <c r="N85" s="55"/>
      <c r="O85" s="55"/>
      <c r="P85" s="55"/>
      <c r="Q85" s="68">
        <f>MIN($B85,VLOOKUP($A85,Parámetros!$A$2:$J$122,8,FALSE)*UF)*12*I85*$X$2</f>
        <v>0</v>
      </c>
      <c r="R85" s="68">
        <f>MIN($B85,VLOOKUP($A85,Parámetros!$A$2:$J$122,8,FALSE)*UF)*12*J85*$X$2</f>
        <v>0</v>
      </c>
      <c r="S85" s="55">
        <f>MIN($B85,VLOOKUP($A85,Parámetros!$A$2:$J$122,10,FALSE)*UF)*12*I85*$X$3</f>
        <v>0</v>
      </c>
      <c r="T85" s="55">
        <f>MIN($B85,VLOOKUP($A85,Parámetros!$A$2:$J$122,10,FALSE)*UF)*12*J85*$X$3</f>
        <v>0</v>
      </c>
      <c r="U85" s="38"/>
      <c r="V85" s="38"/>
      <c r="W85" s="38"/>
      <c r="X85" s="38"/>
      <c r="Y85" s="38"/>
      <c r="Z85" s="54">
        <f t="shared" si="34"/>
        <v>0</v>
      </c>
      <c r="AA85" s="54">
        <f t="shared" si="35"/>
        <v>0</v>
      </c>
      <c r="AB85" s="55">
        <f t="shared" si="25"/>
        <v>0</v>
      </c>
      <c r="AC85" s="55">
        <f t="shared" si="26"/>
        <v>0</v>
      </c>
      <c r="AD85" s="33">
        <f>D85*mmater*Parámetros!$G72*$W$14+AD84*(1+i_noc)</f>
        <v>0</v>
      </c>
      <c r="AE85" s="33">
        <f>E85*12*Parámetros!$F72*$W$14+AE84*(1+i_noc)</f>
        <v>0</v>
      </c>
      <c r="AF85" s="33">
        <f>IFERROR(K85*$B85*VLOOKUP(n_mes_laguna,Parámetros!$Q$2:$S$42,3,FALSE)*$N$14,0)+AF84*(1+i_noc)</f>
        <v>0</v>
      </c>
      <c r="AG85" s="33">
        <f>IFERROR(L85*$B85*VLOOKUP(n_mes_laguna,Parámetros!$Q$2:$S$42,3,FALSE)*$N$14,0)+AG84*(1+i_noc)</f>
        <v>0</v>
      </c>
      <c r="AI85" s="74">
        <f t="shared" si="30"/>
        <v>0</v>
      </c>
      <c r="AJ85" s="74">
        <f t="shared" si="31"/>
        <v>0</v>
      </c>
      <c r="AK85" s="267">
        <f t="shared" si="32"/>
        <v>0</v>
      </c>
      <c r="AL85" s="267">
        <f t="shared" si="33"/>
        <v>0</v>
      </c>
      <c r="AM85" s="39"/>
      <c r="AN85" s="30"/>
      <c r="AO85" s="30"/>
      <c r="AP85" s="30"/>
    </row>
    <row r="86" spans="1:42" x14ac:dyDescent="0.25">
      <c r="A86" s="30">
        <v>2051</v>
      </c>
      <c r="B86" s="33">
        <f>w_uf*UF*Parámetros!C73</f>
        <v>1202719.3887531192</v>
      </c>
      <c r="C86" s="30">
        <f t="shared" si="27"/>
        <v>72</v>
      </c>
      <c r="D86" s="30">
        <f>((A86=Inputs!$C$12)*(Inputs!$D$12) + (A86=Inputs!$C$13)*(Inputs!$D$13) + (A86=Inputs!$C$14)*(Inputs!$D$14)) *(A86 &gt;= a_afil)*(A86&gt;=2024)</f>
        <v>0</v>
      </c>
      <c r="E86" s="30">
        <f>MIN(1,(A86=Inputs!$C$19)*Inputs!$D$19+(A86=Inputs!$C$20)*Inputs!$D$20+(A86=Inputs!$C$21)*Inputs!$D$21*(A86 &gt;= a_afil))</f>
        <v>0</v>
      </c>
      <c r="F86" s="30">
        <f t="shared" si="28"/>
        <v>0</v>
      </c>
      <c r="G86" s="30">
        <f t="shared" si="29"/>
        <v>0</v>
      </c>
      <c r="H86" s="30">
        <v>0.87577968835830688</v>
      </c>
      <c r="I86" s="37">
        <f t="shared" si="23"/>
        <v>0</v>
      </c>
      <c r="J86" s="37">
        <f t="shared" si="24"/>
        <v>0</v>
      </c>
      <c r="K86" s="30">
        <f>1*OR(Inputs!$D$17=$A86,Inputs!$E$17=$A86)*($E86=0)*(F86=1)</f>
        <v>0</v>
      </c>
      <c r="L86" s="30">
        <f>1*OR(Inputs!$D$17=$A86,Inputs!$E$17=$A86)*($E86=0)*(G86=1)</f>
        <v>0</v>
      </c>
      <c r="M86" s="73"/>
      <c r="N86" s="55"/>
      <c r="O86" s="55"/>
      <c r="P86" s="55"/>
      <c r="Q86" s="68">
        <f>MIN($B86,VLOOKUP($A86,Parámetros!$A$2:$J$122,8,FALSE)*UF)*12*I86*$X$2</f>
        <v>0</v>
      </c>
      <c r="R86" s="68">
        <f>MIN($B86,VLOOKUP($A86,Parámetros!$A$2:$J$122,8,FALSE)*UF)*12*J86*$X$2</f>
        <v>0</v>
      </c>
      <c r="S86" s="55">
        <f>MIN($B86,VLOOKUP($A86,Parámetros!$A$2:$J$122,10,FALSE)*UF)*12*I86*$X$3</f>
        <v>0</v>
      </c>
      <c r="T86" s="55">
        <f>MIN($B86,VLOOKUP($A86,Parámetros!$A$2:$J$122,10,FALSE)*UF)*12*J86*$X$3</f>
        <v>0</v>
      </c>
      <c r="U86" s="38"/>
      <c r="V86" s="38"/>
      <c r="W86" s="38"/>
      <c r="X86" s="38"/>
      <c r="Y86" s="38"/>
      <c r="Z86" s="54">
        <f t="shared" si="34"/>
        <v>0</v>
      </c>
      <c r="AA86" s="54">
        <f t="shared" si="35"/>
        <v>0</v>
      </c>
      <c r="AB86" s="55">
        <f t="shared" si="25"/>
        <v>0</v>
      </c>
      <c r="AC86" s="55">
        <f t="shared" si="26"/>
        <v>0</v>
      </c>
      <c r="AD86" s="33">
        <f>D86*mmater*Parámetros!$G73*$W$14+AD85*(1+i_noc)</f>
        <v>0</v>
      </c>
      <c r="AE86" s="33">
        <f>E86*12*Parámetros!$F73*$W$14+AE85*(1+i_noc)</f>
        <v>0</v>
      </c>
      <c r="AF86" s="33">
        <f>IFERROR(K86*$B86*VLOOKUP(n_mes_laguna,Parámetros!$Q$2:$S$42,3,FALSE)*$N$14,0)+AF85*(1+i_noc)</f>
        <v>0</v>
      </c>
      <c r="AG86" s="33">
        <f>IFERROR(L86*$B86*VLOOKUP(n_mes_laguna,Parámetros!$Q$2:$S$42,3,FALSE)*$N$14,0)+AG85*(1+i_noc)</f>
        <v>0</v>
      </c>
      <c r="AI86" s="74">
        <f t="shared" si="30"/>
        <v>0</v>
      </c>
      <c r="AJ86" s="74">
        <f t="shared" si="31"/>
        <v>0</v>
      </c>
      <c r="AK86" s="267">
        <f t="shared" si="32"/>
        <v>0</v>
      </c>
      <c r="AL86" s="267">
        <f t="shared" si="33"/>
        <v>0</v>
      </c>
      <c r="AM86" s="39"/>
      <c r="AN86" s="30"/>
      <c r="AO86" s="30"/>
      <c r="AP86" s="30"/>
    </row>
    <row r="87" spans="1:42" x14ac:dyDescent="0.25">
      <c r="A87" s="30">
        <v>2052</v>
      </c>
      <c r="B87" s="33">
        <f>w_uf*UF*Parámetros!C74</f>
        <v>1217753.3811125332</v>
      </c>
      <c r="C87" s="30">
        <f t="shared" si="27"/>
        <v>73</v>
      </c>
      <c r="D87" s="30">
        <f>((A87=Inputs!$C$12)*(Inputs!$D$12) + (A87=Inputs!$C$13)*(Inputs!$D$13) + (A87=Inputs!$C$14)*(Inputs!$D$14)) *(A87 &gt;= a_afil)*(A87&gt;=2024)</f>
        <v>0</v>
      </c>
      <c r="E87" s="30">
        <f>MIN(1,(A87=Inputs!$C$19)*Inputs!$D$19+(A87=Inputs!$C$20)*Inputs!$D$20+(A87=Inputs!$C$21)*Inputs!$D$21*(A87 &gt;= a_afil))</f>
        <v>0</v>
      </c>
      <c r="F87" s="30">
        <f t="shared" si="28"/>
        <v>0</v>
      </c>
      <c r="G87" s="30">
        <f t="shared" si="29"/>
        <v>0</v>
      </c>
      <c r="H87" s="30">
        <v>0.41664838790893555</v>
      </c>
      <c r="I87" s="37">
        <f t="shared" si="23"/>
        <v>0</v>
      </c>
      <c r="J87" s="37">
        <f t="shared" si="24"/>
        <v>0</v>
      </c>
      <c r="K87" s="30">
        <f>1*OR(Inputs!$D$17=$A87,Inputs!$E$17=$A87)*($E87=0)*(F87=1)</f>
        <v>0</v>
      </c>
      <c r="L87" s="30">
        <f>1*OR(Inputs!$D$17=$A87,Inputs!$E$17=$A87)*($E87=0)*(G87=1)</f>
        <v>0</v>
      </c>
      <c r="M87" s="73"/>
      <c r="N87" s="55"/>
      <c r="O87" s="55"/>
      <c r="P87" s="55"/>
      <c r="Q87" s="68">
        <f>MIN($B87,VLOOKUP($A87,Parámetros!$A$2:$J$122,8,FALSE)*UF)*12*I87*$X$2</f>
        <v>0</v>
      </c>
      <c r="R87" s="68">
        <f>MIN($B87,VLOOKUP($A87,Parámetros!$A$2:$J$122,8,FALSE)*UF)*12*J87*$X$2</f>
        <v>0</v>
      </c>
      <c r="S87" s="55">
        <f>MIN($B87,VLOOKUP($A87,Parámetros!$A$2:$J$122,10,FALSE)*UF)*12*I87*$X$3</f>
        <v>0</v>
      </c>
      <c r="T87" s="55">
        <f>MIN($B87,VLOOKUP($A87,Parámetros!$A$2:$J$122,10,FALSE)*UF)*12*J87*$X$3</f>
        <v>0</v>
      </c>
      <c r="U87" s="38"/>
      <c r="V87" s="38"/>
      <c r="W87" s="38"/>
      <c r="X87" s="38"/>
      <c r="Y87" s="38"/>
      <c r="Z87" s="54">
        <f t="shared" si="34"/>
        <v>0</v>
      </c>
      <c r="AA87" s="54">
        <f t="shared" si="35"/>
        <v>0</v>
      </c>
      <c r="AB87" s="55">
        <f t="shared" si="25"/>
        <v>0</v>
      </c>
      <c r="AC87" s="55">
        <f t="shared" si="26"/>
        <v>0</v>
      </c>
      <c r="AD87" s="33">
        <f>D87*mmater*Parámetros!$G74*$W$14+AD86*(1+i_noc)</f>
        <v>0</v>
      </c>
      <c r="AE87" s="33">
        <f>E87*12*Parámetros!$F74*$W$14+AE86*(1+i_noc)</f>
        <v>0</v>
      </c>
      <c r="AF87" s="33">
        <f>IFERROR(K87*$B87*VLOOKUP(n_mes_laguna,Parámetros!$Q$2:$S$42,3,FALSE)*$N$14,0)+AF86*(1+i_noc)</f>
        <v>0</v>
      </c>
      <c r="AG87" s="33">
        <f>IFERROR(L87*$B87*VLOOKUP(n_mes_laguna,Parámetros!$Q$2:$S$42,3,FALSE)*$N$14,0)+AG86*(1+i_noc)</f>
        <v>0</v>
      </c>
      <c r="AI87" s="74">
        <f t="shared" si="30"/>
        <v>0</v>
      </c>
      <c r="AJ87" s="74">
        <f t="shared" si="31"/>
        <v>0</v>
      </c>
      <c r="AK87" s="267">
        <f t="shared" si="32"/>
        <v>0</v>
      </c>
      <c r="AL87" s="267">
        <f t="shared" si="33"/>
        <v>0</v>
      </c>
      <c r="AM87" s="39"/>
      <c r="AN87" s="30"/>
      <c r="AO87" s="30"/>
      <c r="AP87" s="30"/>
    </row>
    <row r="88" spans="1:42" x14ac:dyDescent="0.25">
      <c r="A88" s="30">
        <v>2053</v>
      </c>
      <c r="B88" s="33">
        <f>w_uf*UF*Parámetros!C75</f>
        <v>1232975.2983764398</v>
      </c>
      <c r="C88" s="30">
        <f t="shared" si="27"/>
        <v>74</v>
      </c>
      <c r="D88" s="30">
        <f>((A88=Inputs!$C$12)*(Inputs!$D$12) + (A88=Inputs!$C$13)*(Inputs!$D$13) + (A88=Inputs!$C$14)*(Inputs!$D$14)) *(A88 &gt;= a_afil)*(A88&gt;=2024)</f>
        <v>0</v>
      </c>
      <c r="E88" s="30">
        <f>MIN(1,(A88=Inputs!$C$19)*Inputs!$D$19+(A88=Inputs!$C$20)*Inputs!$D$20+(A88=Inputs!$C$21)*Inputs!$D$21*(A88 &gt;= a_afil))</f>
        <v>0</v>
      </c>
      <c r="F88" s="30">
        <f t="shared" si="28"/>
        <v>0</v>
      </c>
      <c r="G88" s="30">
        <f t="shared" si="29"/>
        <v>0</v>
      </c>
      <c r="H88" s="30">
        <v>0.12308281660079956</v>
      </c>
      <c r="I88" s="37">
        <f t="shared" si="23"/>
        <v>0</v>
      </c>
      <c r="J88" s="37">
        <f t="shared" si="24"/>
        <v>0</v>
      </c>
      <c r="K88" s="30">
        <f>1*OR(Inputs!$D$17=$A88,Inputs!$E$17=$A88)*($E88=0)*(F88=1)</f>
        <v>0</v>
      </c>
      <c r="L88" s="30">
        <f>1*OR(Inputs!$D$17=$A88,Inputs!$E$17=$A88)*($E88=0)*(G88=1)</f>
        <v>0</v>
      </c>
      <c r="M88" s="73"/>
      <c r="N88" s="55"/>
      <c r="O88" s="55"/>
      <c r="P88" s="55"/>
      <c r="Q88" s="68">
        <f>MIN($B88,VLOOKUP($A88,Parámetros!$A$2:$J$122,8,FALSE)*UF)*12*I88*$X$2</f>
        <v>0</v>
      </c>
      <c r="R88" s="68">
        <f>MIN($B88,VLOOKUP($A88,Parámetros!$A$2:$J$122,8,FALSE)*UF)*12*J88*$X$2</f>
        <v>0</v>
      </c>
      <c r="S88" s="55">
        <f>MIN($B88,VLOOKUP($A88,Parámetros!$A$2:$J$122,10,FALSE)*UF)*12*I88*$X$3</f>
        <v>0</v>
      </c>
      <c r="T88" s="55">
        <f>MIN($B88,VLOOKUP($A88,Parámetros!$A$2:$J$122,10,FALSE)*UF)*12*J88*$X$3</f>
        <v>0</v>
      </c>
      <c r="U88" s="38"/>
      <c r="V88" s="38"/>
      <c r="W88" s="38"/>
      <c r="X88" s="38"/>
      <c r="Y88" s="38"/>
      <c r="Z88" s="54">
        <f t="shared" si="34"/>
        <v>0</v>
      </c>
      <c r="AA88" s="54">
        <f t="shared" si="35"/>
        <v>0</v>
      </c>
      <c r="AB88" s="55">
        <f t="shared" si="25"/>
        <v>0</v>
      </c>
      <c r="AC88" s="55">
        <f t="shared" si="26"/>
        <v>0</v>
      </c>
      <c r="AD88" s="33">
        <f>D88*mmater*Parámetros!$G75*$W$14+AD87*(1+i_noc)</f>
        <v>0</v>
      </c>
      <c r="AE88" s="33">
        <f>E88*12*Parámetros!$F75*$W$14+AE87*(1+i_noc)</f>
        <v>0</v>
      </c>
      <c r="AF88" s="33">
        <f>IFERROR(K88*$B88*VLOOKUP(n_mes_laguna,Parámetros!$Q$2:$S$42,3,FALSE)*$N$14,0)+AF87*(1+i_noc)</f>
        <v>0</v>
      </c>
      <c r="AG88" s="33">
        <f>IFERROR(L88*$B88*VLOOKUP(n_mes_laguna,Parámetros!$Q$2:$S$42,3,FALSE)*$N$14,0)+AG87*(1+i_noc)</f>
        <v>0</v>
      </c>
      <c r="AI88" s="74">
        <f t="shared" si="30"/>
        <v>0</v>
      </c>
      <c r="AJ88" s="74">
        <f t="shared" si="31"/>
        <v>0</v>
      </c>
      <c r="AK88" s="267">
        <f t="shared" si="32"/>
        <v>0</v>
      </c>
      <c r="AL88" s="267">
        <f t="shared" si="33"/>
        <v>0</v>
      </c>
      <c r="AM88" s="39"/>
      <c r="AN88" s="30"/>
      <c r="AO88" s="30"/>
      <c r="AP88" s="30"/>
    </row>
    <row r="89" spans="1:42" x14ac:dyDescent="0.25">
      <c r="A89" s="30">
        <v>2054</v>
      </c>
      <c r="B89" s="33">
        <f>w_uf*UF*Parámetros!C76</f>
        <v>1248387.4896061453</v>
      </c>
      <c r="C89" s="30">
        <f t="shared" si="27"/>
        <v>75</v>
      </c>
      <c r="D89" s="30">
        <f>((A89=Inputs!$C$12)*(Inputs!$D$12) + (A89=Inputs!$C$13)*(Inputs!$D$13) + (A89=Inputs!$C$14)*(Inputs!$D$14)) *(A89 &gt;= a_afil)*(A89&gt;=2024)</f>
        <v>0</v>
      </c>
      <c r="E89" s="30">
        <f>MIN(1,(A89=Inputs!$C$19)*Inputs!$D$19+(A89=Inputs!$C$20)*Inputs!$D$20+(A89=Inputs!$C$21)*Inputs!$D$21*(A89 &gt;= a_afil))</f>
        <v>0</v>
      </c>
      <c r="F89" s="30">
        <f t="shared" si="28"/>
        <v>0</v>
      </c>
      <c r="G89" s="30">
        <f t="shared" si="29"/>
        <v>0</v>
      </c>
      <c r="H89" s="30">
        <v>0.95415794849395752</v>
      </c>
      <c r="I89" s="37">
        <f t="shared" si="23"/>
        <v>0</v>
      </c>
      <c r="J89" s="37">
        <f t="shared" si="24"/>
        <v>0</v>
      </c>
      <c r="K89" s="30">
        <f>1*OR(Inputs!$D$17=$A89,Inputs!$E$17=$A89)*($E89=0)*(F89=1)</f>
        <v>0</v>
      </c>
      <c r="L89" s="30">
        <f>1*OR(Inputs!$D$17=$A89,Inputs!$E$17=$A89)*($E89=0)*(G89=1)</f>
        <v>0</v>
      </c>
      <c r="M89" s="73"/>
      <c r="N89" s="55"/>
      <c r="O89" s="55"/>
      <c r="P89" s="55"/>
      <c r="Q89" s="68">
        <f>MIN($B89,VLOOKUP($A89,Parámetros!$A$2:$J$122,8,FALSE)*UF)*12*I89*$X$2</f>
        <v>0</v>
      </c>
      <c r="R89" s="68">
        <f>MIN($B89,VLOOKUP($A89,Parámetros!$A$2:$J$122,8,FALSE)*UF)*12*J89*$X$2</f>
        <v>0</v>
      </c>
      <c r="S89" s="55">
        <f>MIN($B89,VLOOKUP($A89,Parámetros!$A$2:$J$122,10,FALSE)*UF)*12*I89*$X$3</f>
        <v>0</v>
      </c>
      <c r="T89" s="55">
        <f>MIN($B89,VLOOKUP($A89,Parámetros!$A$2:$J$122,10,FALSE)*UF)*12*J89*$X$3</f>
        <v>0</v>
      </c>
      <c r="U89" s="38"/>
      <c r="V89" s="38"/>
      <c r="W89" s="38"/>
      <c r="X89" s="38"/>
      <c r="Y89" s="38"/>
      <c r="Z89" s="54">
        <f t="shared" si="34"/>
        <v>0</v>
      </c>
      <c r="AA89" s="54">
        <f t="shared" si="35"/>
        <v>0</v>
      </c>
      <c r="AB89" s="55">
        <f t="shared" si="25"/>
        <v>0</v>
      </c>
      <c r="AC89" s="55">
        <f t="shared" si="26"/>
        <v>0</v>
      </c>
      <c r="AD89" s="33">
        <f>D89*mmater*Parámetros!$G76*$W$14+AD88*(1+i_noc)</f>
        <v>0</v>
      </c>
      <c r="AE89" s="33">
        <f>E89*12*Parámetros!$F76*$W$14+AE88*(1+i_noc)</f>
        <v>0</v>
      </c>
      <c r="AF89" s="33">
        <f>IFERROR(K89*$B89*VLOOKUP(n_mes_laguna,Parámetros!$Q$2:$S$42,3,FALSE)*$N$14,0)+AF88*(1+i_noc)</f>
        <v>0</v>
      </c>
      <c r="AG89" s="33">
        <f>IFERROR(L89*$B89*VLOOKUP(n_mes_laguna,Parámetros!$Q$2:$S$42,3,FALSE)*$N$14,0)+AG88*(1+i_noc)</f>
        <v>0</v>
      </c>
      <c r="AI89" s="74">
        <f t="shared" si="30"/>
        <v>0</v>
      </c>
      <c r="AJ89" s="74">
        <f t="shared" si="31"/>
        <v>0</v>
      </c>
      <c r="AK89" s="267">
        <f t="shared" si="32"/>
        <v>0</v>
      </c>
      <c r="AL89" s="267">
        <f t="shared" si="33"/>
        <v>0</v>
      </c>
      <c r="AM89" s="39"/>
      <c r="AN89" s="30"/>
      <c r="AO89" s="30"/>
      <c r="AP89" s="30"/>
    </row>
    <row r="90" spans="1:42" x14ac:dyDescent="0.25">
      <c r="A90" s="30">
        <v>2055</v>
      </c>
      <c r="B90" s="33">
        <f>w_uf*UF*Parámetros!C77</f>
        <v>1263992.3332262221</v>
      </c>
      <c r="C90" s="30">
        <f t="shared" si="27"/>
        <v>76</v>
      </c>
      <c r="D90" s="30">
        <f>((A90=Inputs!$C$12)*(Inputs!$D$12) + (A90=Inputs!$C$13)*(Inputs!$D$13) + (A90=Inputs!$C$14)*(Inputs!$D$14)) *(A90 &gt;= a_afil)*(A90&gt;=2024)</f>
        <v>0</v>
      </c>
      <c r="E90" s="30">
        <f>MIN(1,(A90=Inputs!$C$19)*Inputs!$D$19+(A90=Inputs!$C$20)*Inputs!$D$20+(A90=Inputs!$C$21)*Inputs!$D$21*(A90 &gt;= a_afil))</f>
        <v>0</v>
      </c>
      <c r="F90" s="30">
        <f t="shared" si="28"/>
        <v>0</v>
      </c>
      <c r="G90" s="30">
        <f t="shared" si="29"/>
        <v>0</v>
      </c>
      <c r="H90" s="30">
        <v>0.79729729890823364</v>
      </c>
      <c r="I90" s="37">
        <f t="shared" ref="I90:I121" si="36">IF(F90=1,+dens_cot,0)</f>
        <v>0</v>
      </c>
      <c r="J90" s="37">
        <f t="shared" ref="J90:J134" si="37">IF(G90=1,+dens_mujer,0)</f>
        <v>0</v>
      </c>
      <c r="K90" s="30">
        <f>1*OR(Inputs!$D$17=$A90,Inputs!$E$17=$A90)*($E90=0)*(F90=1)</f>
        <v>0</v>
      </c>
      <c r="L90" s="30">
        <f>1*OR(Inputs!$D$17=$A90,Inputs!$E$17=$A90)*($E90=0)*(G90=1)</f>
        <v>0</v>
      </c>
      <c r="M90" s="73"/>
      <c r="N90" s="55"/>
      <c r="O90" s="55"/>
      <c r="P90" s="55"/>
      <c r="Q90" s="68">
        <f>MIN($B90,VLOOKUP($A90,Parámetros!$A$2:$J$122,8,FALSE)*UF)*12*I90*$X$2</f>
        <v>0</v>
      </c>
      <c r="R90" s="68">
        <f>MIN($B90,VLOOKUP($A90,Parámetros!$A$2:$J$122,8,FALSE)*UF)*12*J90*$X$2</f>
        <v>0</v>
      </c>
      <c r="S90" s="55">
        <f>MIN($B90,VLOOKUP($A90,Parámetros!$A$2:$J$122,10,FALSE)*UF)*12*I90*$X$3</f>
        <v>0</v>
      </c>
      <c r="T90" s="55">
        <f>MIN($B90,VLOOKUP($A90,Parámetros!$A$2:$J$122,10,FALSE)*UF)*12*J90*$X$3</f>
        <v>0</v>
      </c>
      <c r="U90" s="38"/>
      <c r="V90" s="38"/>
      <c r="W90" s="38"/>
      <c r="X90" s="38"/>
      <c r="Y90" s="38"/>
      <c r="Z90" s="54">
        <f t="shared" si="34"/>
        <v>0</v>
      </c>
      <c r="AA90" s="54">
        <f t="shared" si="35"/>
        <v>0</v>
      </c>
      <c r="AB90" s="55">
        <f t="shared" si="25"/>
        <v>0</v>
      </c>
      <c r="AC90" s="55">
        <f t="shared" si="26"/>
        <v>0</v>
      </c>
      <c r="AD90" s="33">
        <f>D90*mmater*Parámetros!$G77*$W$14+AD89*(1+i_noc)</f>
        <v>0</v>
      </c>
      <c r="AE90" s="33">
        <f>E90*12*Parámetros!$F77*$W$14+AE89*(1+i_noc)</f>
        <v>0</v>
      </c>
      <c r="AF90" s="33">
        <f>IFERROR(K90*$B90*VLOOKUP(n_mes_laguna,Parámetros!$Q$2:$S$42,3,FALSE)*$N$14,0)+AF89*(1+i_noc)</f>
        <v>0</v>
      </c>
      <c r="AG90" s="33">
        <f>IFERROR(L90*$B90*VLOOKUP(n_mes_laguna,Parámetros!$Q$2:$S$42,3,FALSE)*$N$14,0)+AG89*(1+i_noc)</f>
        <v>0</v>
      </c>
      <c r="AI90" s="74">
        <f t="shared" si="30"/>
        <v>0</v>
      </c>
      <c r="AJ90" s="74">
        <f t="shared" si="31"/>
        <v>0</v>
      </c>
      <c r="AK90" s="267">
        <f t="shared" si="32"/>
        <v>0</v>
      </c>
      <c r="AL90" s="267">
        <f t="shared" si="33"/>
        <v>0</v>
      </c>
      <c r="AM90" s="39"/>
      <c r="AN90" s="30"/>
      <c r="AO90" s="30"/>
      <c r="AP90" s="30"/>
    </row>
    <row r="91" spans="1:42" x14ac:dyDescent="0.25">
      <c r="A91" s="30">
        <v>2056</v>
      </c>
      <c r="B91" s="33">
        <f>w_uf*UF*Parámetros!C78</f>
        <v>1279792.2373915499</v>
      </c>
      <c r="C91" s="30">
        <f t="shared" si="27"/>
        <v>77</v>
      </c>
      <c r="D91" s="30">
        <f>((A91=Inputs!$C$12)*(Inputs!$D$12) + (A91=Inputs!$C$13)*(Inputs!$D$13) + (A91=Inputs!$C$14)*(Inputs!$D$14)) *(A91 &gt;= a_afil)*(A91&gt;=2024)</f>
        <v>0</v>
      </c>
      <c r="E91" s="30">
        <f>MIN(1,(A91=Inputs!$C$19)*Inputs!$D$19+(A91=Inputs!$C$20)*Inputs!$D$20+(A91=Inputs!$C$21)*Inputs!$D$21*(A91 &gt;= a_afil))</f>
        <v>0</v>
      </c>
      <c r="F91" s="30">
        <f t="shared" si="28"/>
        <v>0</v>
      </c>
      <c r="G91" s="30">
        <f t="shared" si="29"/>
        <v>0</v>
      </c>
      <c r="H91" s="30">
        <v>0.69628500938415527</v>
      </c>
      <c r="I91" s="37">
        <f t="shared" si="36"/>
        <v>0</v>
      </c>
      <c r="J91" s="37">
        <f t="shared" si="37"/>
        <v>0</v>
      </c>
      <c r="K91" s="30">
        <f>1*OR(Inputs!$D$17=$A91,Inputs!$E$17=$A91)*($E91=0)*(F91=1)</f>
        <v>0</v>
      </c>
      <c r="L91" s="30">
        <f>1*OR(Inputs!$D$17=$A91,Inputs!$E$17=$A91)*($E91=0)*(G91=1)</f>
        <v>0</v>
      </c>
      <c r="M91" s="73"/>
      <c r="N91" s="55"/>
      <c r="O91" s="55"/>
      <c r="P91" s="55"/>
      <c r="Q91" s="68">
        <f>MIN($B91,VLOOKUP($A91,Parámetros!$A$2:$J$122,8,FALSE)*UF)*12*I91*$X$2</f>
        <v>0</v>
      </c>
      <c r="R91" s="68">
        <f>MIN($B91,VLOOKUP($A91,Parámetros!$A$2:$J$122,8,FALSE)*UF)*12*J91*$X$2</f>
        <v>0</v>
      </c>
      <c r="S91" s="55">
        <f>MIN($B91,VLOOKUP($A91,Parámetros!$A$2:$J$122,10,FALSE)*UF)*12*I91*$X$3</f>
        <v>0</v>
      </c>
      <c r="T91" s="55">
        <f>MIN($B91,VLOOKUP($A91,Parámetros!$A$2:$J$122,10,FALSE)*UF)*12*J91*$X$3</f>
        <v>0</v>
      </c>
      <c r="U91" s="38"/>
      <c r="V91" s="38"/>
      <c r="W91" s="38"/>
      <c r="X91" s="38"/>
      <c r="Y91" s="38"/>
      <c r="Z91" s="54">
        <f t="shared" si="34"/>
        <v>0</v>
      </c>
      <c r="AA91" s="54">
        <f t="shared" si="35"/>
        <v>0</v>
      </c>
      <c r="AB91" s="55">
        <f t="shared" si="25"/>
        <v>0</v>
      </c>
      <c r="AC91" s="55">
        <f t="shared" si="26"/>
        <v>0</v>
      </c>
      <c r="AD91" s="33">
        <f>D91*mmater*Parámetros!$G78*$W$14+AD90*(1+i_noc)</f>
        <v>0</v>
      </c>
      <c r="AE91" s="33">
        <f>E91*12*Parámetros!$F78*$W$14+AE90*(1+i_noc)</f>
        <v>0</v>
      </c>
      <c r="AF91" s="33">
        <f>IFERROR(K91*$B91*VLOOKUP(n_mes_laguna,Parámetros!$Q$2:$S$42,3,FALSE)*$N$14,0)+AF90*(1+i_noc)</f>
        <v>0</v>
      </c>
      <c r="AG91" s="33">
        <f>IFERROR(L91*$B91*VLOOKUP(n_mes_laguna,Parámetros!$Q$2:$S$42,3,FALSE)*$N$14,0)+AG90*(1+i_noc)</f>
        <v>0</v>
      </c>
      <c r="AI91" s="74">
        <f t="shared" si="30"/>
        <v>0</v>
      </c>
      <c r="AJ91" s="74">
        <f t="shared" si="31"/>
        <v>0</v>
      </c>
      <c r="AK91" s="267">
        <f t="shared" si="32"/>
        <v>0</v>
      </c>
      <c r="AL91" s="267">
        <f t="shared" si="33"/>
        <v>0</v>
      </c>
      <c r="AM91" s="39"/>
      <c r="AN91" s="30"/>
      <c r="AO91" s="30"/>
      <c r="AP91" s="30"/>
    </row>
    <row r="92" spans="1:42" x14ac:dyDescent="0.25">
      <c r="A92" s="30">
        <v>2057</v>
      </c>
      <c r="B92" s="33">
        <f>w_uf*UF*Parámetros!C79</f>
        <v>1295789.6403589442</v>
      </c>
      <c r="C92" s="30">
        <f t="shared" si="27"/>
        <v>78</v>
      </c>
      <c r="D92" s="30">
        <f>((A92=Inputs!$C$12)*(Inputs!$D$12) + (A92=Inputs!$C$13)*(Inputs!$D$13) + (A92=Inputs!$C$14)*(Inputs!$D$14)) *(A92 &gt;= a_afil)*(A92&gt;=2024)</f>
        <v>0</v>
      </c>
      <c r="E92" s="30">
        <f>MIN(1,(A92=Inputs!$C$19)*Inputs!$D$19+(A92=Inputs!$C$20)*Inputs!$D$20+(A92=Inputs!$C$21)*Inputs!$D$21*(A92 &gt;= a_afil))</f>
        <v>0</v>
      </c>
      <c r="F92" s="30">
        <f t="shared" si="28"/>
        <v>0</v>
      </c>
      <c r="G92" s="30">
        <f t="shared" si="29"/>
        <v>0</v>
      </c>
      <c r="H92" s="30">
        <v>0.40160459280014038</v>
      </c>
      <c r="I92" s="37">
        <f t="shared" si="36"/>
        <v>0</v>
      </c>
      <c r="J92" s="37">
        <f t="shared" si="37"/>
        <v>0</v>
      </c>
      <c r="K92" s="30">
        <f>1*OR(Inputs!$D$17=$A92,Inputs!$E$17=$A92)*($E92=0)*(F92=1)</f>
        <v>0</v>
      </c>
      <c r="L92" s="30">
        <f>1*OR(Inputs!$D$17=$A92,Inputs!$E$17=$A92)*($E92=0)*(G92=1)</f>
        <v>0</v>
      </c>
      <c r="M92" s="73"/>
      <c r="N92" s="55"/>
      <c r="O92" s="55"/>
      <c r="P92" s="55"/>
      <c r="Q92" s="68">
        <f>MIN($B92,VLOOKUP($A92,Parámetros!$A$2:$J$122,8,FALSE)*UF)*12*I92*$X$2</f>
        <v>0</v>
      </c>
      <c r="R92" s="68">
        <f>MIN($B92,VLOOKUP($A92,Parámetros!$A$2:$J$122,8,FALSE)*UF)*12*J92*$X$2</f>
        <v>0</v>
      </c>
      <c r="S92" s="55">
        <f>MIN($B92,VLOOKUP($A92,Parámetros!$A$2:$J$122,10,FALSE)*UF)*12*I92*$X$3</f>
        <v>0</v>
      </c>
      <c r="T92" s="55">
        <f>MIN($B92,VLOOKUP($A92,Parámetros!$A$2:$J$122,10,FALSE)*UF)*12*J92*$X$3</f>
        <v>0</v>
      </c>
      <c r="U92" s="38"/>
      <c r="V92" s="38"/>
      <c r="W92" s="38"/>
      <c r="X92" s="38"/>
      <c r="Y92" s="38"/>
      <c r="Z92" s="54">
        <f t="shared" si="34"/>
        <v>0</v>
      </c>
      <c r="AA92" s="54">
        <f t="shared" si="35"/>
        <v>0</v>
      </c>
      <c r="AB92" s="55">
        <f t="shared" si="25"/>
        <v>0</v>
      </c>
      <c r="AC92" s="55">
        <f t="shared" si="26"/>
        <v>0</v>
      </c>
      <c r="AD92" s="33">
        <f>D92*mmater*Parámetros!$G79*$W$14+AD91*(1+i_noc)</f>
        <v>0</v>
      </c>
      <c r="AE92" s="33">
        <f>E92*12*Parámetros!$F79*$W$14+AE91*(1+i_noc)</f>
        <v>0</v>
      </c>
      <c r="AF92" s="33">
        <f>IFERROR(K92*$B92*VLOOKUP(n_mes_laguna,Parámetros!$Q$2:$S$42,3,FALSE)*$N$14,0)+AF91*(1+i_noc)</f>
        <v>0</v>
      </c>
      <c r="AG92" s="33">
        <f>IFERROR(L92*$B92*VLOOKUP(n_mes_laguna,Parámetros!$Q$2:$S$42,3,FALSE)*$N$14,0)+AG91*(1+i_noc)</f>
        <v>0</v>
      </c>
      <c r="AI92" s="74">
        <f t="shared" si="30"/>
        <v>0</v>
      </c>
      <c r="AJ92" s="74">
        <f t="shared" si="31"/>
        <v>0</v>
      </c>
      <c r="AK92" s="267">
        <f t="shared" si="32"/>
        <v>0</v>
      </c>
      <c r="AL92" s="267">
        <f t="shared" si="33"/>
        <v>0</v>
      </c>
      <c r="AM92" s="39"/>
      <c r="AN92" s="30"/>
      <c r="AO92" s="30"/>
      <c r="AP92" s="30"/>
    </row>
    <row r="93" spans="1:42" x14ac:dyDescent="0.25">
      <c r="A93" s="30">
        <v>2058</v>
      </c>
      <c r="B93" s="33">
        <f>w_uf*UF*Parámetros!C80</f>
        <v>1311987.010863431</v>
      </c>
      <c r="C93" s="30">
        <f t="shared" si="27"/>
        <v>79</v>
      </c>
      <c r="D93" s="30">
        <f>((A93=Inputs!$C$12)*(Inputs!$D$12) + (A93=Inputs!$C$13)*(Inputs!$D$13) + (A93=Inputs!$C$14)*(Inputs!$D$14)) *(A93 &gt;= a_afil)*(A93&gt;=2024)</f>
        <v>0</v>
      </c>
      <c r="E93" s="30">
        <f>MIN(1,(A93=Inputs!$C$19)*Inputs!$D$19+(A93=Inputs!$C$20)*Inputs!$D$20+(A93=Inputs!$C$21)*Inputs!$D$21*(A93 &gt;= a_afil))</f>
        <v>0</v>
      </c>
      <c r="F93" s="30">
        <f t="shared" si="28"/>
        <v>0</v>
      </c>
      <c r="G93" s="30">
        <f t="shared" si="29"/>
        <v>0</v>
      </c>
      <c r="H93" s="30">
        <v>1.6297698020935059E-2</v>
      </c>
      <c r="I93" s="37">
        <f t="shared" si="36"/>
        <v>0</v>
      </c>
      <c r="J93" s="37">
        <f t="shared" si="37"/>
        <v>0</v>
      </c>
      <c r="K93" s="30">
        <f>1*OR(Inputs!$D$17=$A93,Inputs!$E$17=$A93)*($E93=0)*(F93=1)</f>
        <v>0</v>
      </c>
      <c r="L93" s="30">
        <f>1*OR(Inputs!$D$17=$A93,Inputs!$E$17=$A93)*($E93=0)*(G93=1)</f>
        <v>0</v>
      </c>
      <c r="M93" s="73"/>
      <c r="N93" s="55"/>
      <c r="O93" s="55"/>
      <c r="P93" s="55"/>
      <c r="Q93" s="68">
        <f>MIN($B93,VLOOKUP($A93,Parámetros!$A$2:$J$122,8,FALSE)*UF)*12*I93*$X$2</f>
        <v>0</v>
      </c>
      <c r="R93" s="68">
        <f>MIN($B93,VLOOKUP($A93,Parámetros!$A$2:$J$122,8,FALSE)*UF)*12*J93*$X$2</f>
        <v>0</v>
      </c>
      <c r="S93" s="55">
        <f>MIN($B93,VLOOKUP($A93,Parámetros!$A$2:$J$122,10,FALSE)*UF)*12*I93*$X$3</f>
        <v>0</v>
      </c>
      <c r="T93" s="55">
        <f>MIN($B93,VLOOKUP($A93,Parámetros!$A$2:$J$122,10,FALSE)*UF)*12*J93*$X$3</f>
        <v>0</v>
      </c>
      <c r="U93" s="38"/>
      <c r="V93" s="38"/>
      <c r="W93" s="38"/>
      <c r="X93" s="38"/>
      <c r="Y93" s="38"/>
      <c r="Z93" s="54">
        <f t="shared" si="34"/>
        <v>0</v>
      </c>
      <c r="AA93" s="54">
        <f t="shared" si="35"/>
        <v>0</v>
      </c>
      <c r="AB93" s="55">
        <f t="shared" ref="AB93:AB124" si="38">F92*AB92*(1+_xlfn.XLOOKUP(MIN(2024,$A92),agnos_rent,rent_base))*(1-$X$6)+S93</f>
        <v>0</v>
      </c>
      <c r="AC93" s="55">
        <f t="shared" ref="AC93:AC124" si="39">G92*AC92*(1+_xlfn.XLOOKUP(MIN(2024,$A92),agnos_rent,rent_base))*(1-$X$6)+T93</f>
        <v>0</v>
      </c>
      <c r="AD93" s="33">
        <f>D93*mmater*Parámetros!$G80*$W$14+AD92*(1+i_noc)</f>
        <v>0</v>
      </c>
      <c r="AE93" s="33">
        <f>E93*12*Parámetros!$F80*$W$14+AE92*(1+i_noc)</f>
        <v>0</v>
      </c>
      <c r="AF93" s="33">
        <f>IFERROR(K93*$B93*VLOOKUP(n_mes_laguna,Parámetros!$Q$2:$S$42,3,FALSE)*$N$14,0)+AF92*(1+i_noc)</f>
        <v>0</v>
      </c>
      <c r="AG93" s="33">
        <f>IFERROR(L93*$B93*VLOOKUP(n_mes_laguna,Parámetros!$Q$2:$S$42,3,FALSE)*$N$14,0)+AG92*(1+i_noc)</f>
        <v>0</v>
      </c>
      <c r="AI93" s="74">
        <f t="shared" si="30"/>
        <v>0</v>
      </c>
      <c r="AJ93" s="74">
        <f t="shared" si="31"/>
        <v>0</v>
      </c>
      <c r="AK93" s="267">
        <f t="shared" si="32"/>
        <v>0</v>
      </c>
      <c r="AL93" s="267">
        <f t="shared" si="33"/>
        <v>0</v>
      </c>
      <c r="AM93" s="39"/>
      <c r="AN93" s="30"/>
      <c r="AO93" s="30"/>
      <c r="AP93" s="30"/>
    </row>
    <row r="94" spans="1:42" x14ac:dyDescent="0.25">
      <c r="A94" s="30">
        <v>2059</v>
      </c>
      <c r="B94" s="33">
        <f>w_uf*UF*Parámetros!C81</f>
        <v>1328386.8484992238</v>
      </c>
      <c r="C94" s="30">
        <f t="shared" si="27"/>
        <v>80</v>
      </c>
      <c r="D94" s="30">
        <f>((A94=Inputs!$C$12)*(Inputs!$D$12) + (A94=Inputs!$C$13)*(Inputs!$D$13) + (A94=Inputs!$C$14)*(Inputs!$D$14)) *(A94 &gt;= a_afil)*(A94&gt;=2024)</f>
        <v>0</v>
      </c>
      <c r="E94" s="30">
        <f>MIN(1,(A94=Inputs!$C$19)*Inputs!$D$19+(A94=Inputs!$C$20)*Inputs!$D$20+(A94=Inputs!$C$21)*Inputs!$D$21*(A94 &gt;= a_afil))</f>
        <v>0</v>
      </c>
      <c r="F94" s="30">
        <f t="shared" si="28"/>
        <v>0</v>
      </c>
      <c r="G94" s="30">
        <f t="shared" si="29"/>
        <v>0</v>
      </c>
      <c r="H94" s="30">
        <v>0.16776281595230103</v>
      </c>
      <c r="I94" s="37">
        <f t="shared" si="36"/>
        <v>0</v>
      </c>
      <c r="J94" s="37">
        <f t="shared" si="37"/>
        <v>0</v>
      </c>
      <c r="K94" s="30">
        <f>1*OR(Inputs!$D$17=$A94,Inputs!$E$17=$A94)*($E94=0)*(F94=1)</f>
        <v>0</v>
      </c>
      <c r="L94" s="30">
        <f>1*OR(Inputs!$D$17=$A94,Inputs!$E$17=$A94)*($E94=0)*(G94=1)</f>
        <v>0</v>
      </c>
      <c r="M94" s="73"/>
      <c r="N94" s="55"/>
      <c r="O94" s="55"/>
      <c r="P94" s="55"/>
      <c r="Q94" s="68">
        <f>MIN($B94,VLOOKUP($A94,Parámetros!$A$2:$J$122,8,FALSE)*UF)*12*I94*$X$2</f>
        <v>0</v>
      </c>
      <c r="R94" s="68">
        <f>MIN($B94,VLOOKUP($A94,Parámetros!$A$2:$J$122,8,FALSE)*UF)*12*J94*$X$2</f>
        <v>0</v>
      </c>
      <c r="S94" s="55">
        <f>MIN($B94,VLOOKUP($A94,Parámetros!$A$2:$J$122,10,FALSE)*UF)*12*I94*$X$3</f>
        <v>0</v>
      </c>
      <c r="T94" s="55">
        <f>MIN($B94,VLOOKUP($A94,Parámetros!$A$2:$J$122,10,FALSE)*UF)*12*J94*$X$3</f>
        <v>0</v>
      </c>
      <c r="U94" s="38"/>
      <c r="V94" s="38"/>
      <c r="W94" s="38"/>
      <c r="X94" s="38"/>
      <c r="Y94" s="38"/>
      <c r="Z94" s="54">
        <f t="shared" si="34"/>
        <v>0</v>
      </c>
      <c r="AA94" s="54">
        <f t="shared" si="35"/>
        <v>0</v>
      </c>
      <c r="AB94" s="55">
        <f t="shared" si="38"/>
        <v>0</v>
      </c>
      <c r="AC94" s="55">
        <f t="shared" si="39"/>
        <v>0</v>
      </c>
      <c r="AD94" s="33">
        <f>D94*mmater*Parámetros!$G81*$W$14+AD93*(1+i_noc)</f>
        <v>0</v>
      </c>
      <c r="AE94" s="33">
        <f>E94*12*Parámetros!$F81*$W$14+AE93*(1+i_noc)</f>
        <v>0</v>
      </c>
      <c r="AF94" s="33">
        <f>IFERROR(K94*$B94*VLOOKUP(n_mes_laguna,Parámetros!$Q$2:$S$42,3,FALSE)*$N$14,0)+AF93*(1+i_noc)</f>
        <v>0</v>
      </c>
      <c r="AG94" s="33">
        <f>IFERROR(L94*$B94*VLOOKUP(n_mes_laguna,Parámetros!$Q$2:$S$42,3,FALSE)*$N$14,0)+AG93*(1+i_noc)</f>
        <v>0</v>
      </c>
      <c r="AI94" s="74">
        <f t="shared" si="30"/>
        <v>0</v>
      </c>
      <c r="AJ94" s="74">
        <f t="shared" si="31"/>
        <v>0</v>
      </c>
      <c r="AK94" s="267">
        <f t="shared" si="32"/>
        <v>0</v>
      </c>
      <c r="AL94" s="267">
        <f t="shared" si="33"/>
        <v>0</v>
      </c>
      <c r="AM94" s="39"/>
      <c r="AN94" s="30"/>
      <c r="AO94" s="30"/>
      <c r="AP94" s="30"/>
    </row>
    <row r="95" spans="1:42" x14ac:dyDescent="0.25">
      <c r="A95" s="30">
        <v>2060</v>
      </c>
      <c r="B95" s="33">
        <f>w_uf*UF*Parámetros!C82</f>
        <v>1344991.6841054638</v>
      </c>
      <c r="C95" s="30">
        <f t="shared" si="27"/>
        <v>81</v>
      </c>
      <c r="D95" s="30">
        <f>((A95=Inputs!$C$12)*(Inputs!$D$12) + (A95=Inputs!$C$13)*(Inputs!$D$13) + (A95=Inputs!$C$14)*(Inputs!$D$14)) *(A95 &gt;= a_afil)*(A95&gt;=2024)</f>
        <v>0</v>
      </c>
      <c r="E95" s="30">
        <f>MIN(1,(A95=Inputs!$C$19)*Inputs!$D$19+(A95=Inputs!$C$20)*Inputs!$D$20+(A95=Inputs!$C$21)*Inputs!$D$21*(A95 &gt;= a_afil))</f>
        <v>0</v>
      </c>
      <c r="F95" s="30">
        <f t="shared" si="28"/>
        <v>0</v>
      </c>
      <c r="G95" s="30">
        <f t="shared" si="29"/>
        <v>0</v>
      </c>
      <c r="H95" s="30">
        <v>0.16423416137695313</v>
      </c>
      <c r="I95" s="37">
        <f t="shared" si="36"/>
        <v>0</v>
      </c>
      <c r="J95" s="37">
        <f t="shared" si="37"/>
        <v>0</v>
      </c>
      <c r="K95" s="30">
        <f>1*OR(Inputs!$D$17=$A95,Inputs!$E$17=$A95)*($E95=0)*(F95=1)</f>
        <v>0</v>
      </c>
      <c r="L95" s="30">
        <f>1*OR(Inputs!$D$17=$A95,Inputs!$E$17=$A95)*($E95=0)*(G95=1)</f>
        <v>0</v>
      </c>
      <c r="M95" s="73"/>
      <c r="N95" s="55"/>
      <c r="O95" s="55"/>
      <c r="P95" s="55"/>
      <c r="Q95" s="68">
        <f>MIN($B95,VLOOKUP($A95,Parámetros!$A$2:$J$122,8,FALSE)*UF)*12*I95*$X$2</f>
        <v>0</v>
      </c>
      <c r="R95" s="68">
        <f>MIN($B95,VLOOKUP($A95,Parámetros!$A$2:$J$122,8,FALSE)*UF)*12*J95*$X$2</f>
        <v>0</v>
      </c>
      <c r="S95" s="55">
        <f>MIN($B95,VLOOKUP($A95,Parámetros!$A$2:$J$122,10,FALSE)*UF)*12*I95*$X$3</f>
        <v>0</v>
      </c>
      <c r="T95" s="55">
        <f>MIN($B95,VLOOKUP($A95,Parámetros!$A$2:$J$122,10,FALSE)*UF)*12*J95*$X$3</f>
        <v>0</v>
      </c>
      <c r="U95" s="38"/>
      <c r="V95" s="38"/>
      <c r="W95" s="38"/>
      <c r="X95" s="38"/>
      <c r="Y95" s="38"/>
      <c r="Z95" s="54">
        <f t="shared" si="34"/>
        <v>0</v>
      </c>
      <c r="AA95" s="54">
        <f t="shared" si="35"/>
        <v>0</v>
      </c>
      <c r="AB95" s="55">
        <f t="shared" si="38"/>
        <v>0</v>
      </c>
      <c r="AC95" s="55">
        <f t="shared" si="39"/>
        <v>0</v>
      </c>
      <c r="AD95" s="33">
        <f>D95*mmater*Parámetros!$G82*$W$14+AD94*(1+i_noc)</f>
        <v>0</v>
      </c>
      <c r="AE95" s="33">
        <f>E95*12*Parámetros!$F82*$W$14+AE94*(1+i_noc)</f>
        <v>0</v>
      </c>
      <c r="AF95" s="33">
        <f>IFERROR(K95*$B95*VLOOKUP(n_mes_laguna,Parámetros!$Q$2:$S$42,3,FALSE)*$N$14,0)+AF94*(1+i_noc)</f>
        <v>0</v>
      </c>
      <c r="AG95" s="33">
        <f>IFERROR(L95*$B95*VLOOKUP(n_mes_laguna,Parámetros!$Q$2:$S$42,3,FALSE)*$N$14,0)+AG94*(1+i_noc)</f>
        <v>0</v>
      </c>
      <c r="AI95" s="74">
        <f t="shared" si="30"/>
        <v>0</v>
      </c>
      <c r="AJ95" s="74">
        <f t="shared" si="31"/>
        <v>0</v>
      </c>
      <c r="AK95" s="267">
        <f t="shared" si="32"/>
        <v>0</v>
      </c>
      <c r="AL95" s="267">
        <f t="shared" si="33"/>
        <v>0</v>
      </c>
      <c r="AM95" s="39"/>
      <c r="AN95" s="30"/>
      <c r="AO95" s="30"/>
      <c r="AP95" s="30"/>
    </row>
    <row r="96" spans="1:42" x14ac:dyDescent="0.25">
      <c r="A96" s="30">
        <v>2061</v>
      </c>
      <c r="B96" s="33">
        <f>w_uf*UF*Parámetros!C83</f>
        <v>1361804.0801567822</v>
      </c>
      <c r="C96" s="30">
        <f t="shared" si="27"/>
        <v>82</v>
      </c>
      <c r="D96" s="30">
        <f>((A96=Inputs!$C$12)*(Inputs!$D$12) + (A96=Inputs!$C$13)*(Inputs!$D$13) + (A96=Inputs!$C$14)*(Inputs!$D$14)) *(A96 &gt;= a_afil)*(A96&gt;=2024)</f>
        <v>0</v>
      </c>
      <c r="E96" s="30">
        <f>MIN(1,(A96=Inputs!$C$19)*Inputs!$D$19+(A96=Inputs!$C$20)*Inputs!$D$20+(A96=Inputs!$C$21)*Inputs!$D$21*(A96 &gt;= a_afil))</f>
        <v>0</v>
      </c>
      <c r="F96" s="30">
        <f t="shared" si="28"/>
        <v>0</v>
      </c>
      <c r="G96" s="30">
        <f t="shared" si="29"/>
        <v>0</v>
      </c>
      <c r="H96" s="30">
        <v>0.50972002744674683</v>
      </c>
      <c r="I96" s="37">
        <f t="shared" si="36"/>
        <v>0</v>
      </c>
      <c r="J96" s="37">
        <f t="shared" si="37"/>
        <v>0</v>
      </c>
      <c r="K96" s="30">
        <f>1*OR(Inputs!$D$17=$A96,Inputs!$E$17=$A96)*($E96=0)*(F96=1)</f>
        <v>0</v>
      </c>
      <c r="L96" s="30">
        <f>1*OR(Inputs!$D$17=$A96,Inputs!$E$17=$A96)*($E96=0)*(G96=1)</f>
        <v>0</v>
      </c>
      <c r="M96" s="73"/>
      <c r="N96" s="55"/>
      <c r="O96" s="55"/>
      <c r="P96" s="55"/>
      <c r="Q96" s="68">
        <f>MIN($B96,VLOOKUP($A96,Parámetros!$A$2:$J$122,8,FALSE)*UF)*12*I96*$X$2</f>
        <v>0</v>
      </c>
      <c r="R96" s="68">
        <f>MIN($B96,VLOOKUP($A96,Parámetros!$A$2:$J$122,8,FALSE)*UF)*12*J96*$X$2</f>
        <v>0</v>
      </c>
      <c r="S96" s="55">
        <f>MIN($B96,VLOOKUP($A96,Parámetros!$A$2:$J$122,10,FALSE)*UF)*12*I96*$X$3</f>
        <v>0</v>
      </c>
      <c r="T96" s="55">
        <f>MIN($B96,VLOOKUP($A96,Parámetros!$A$2:$J$122,10,FALSE)*UF)*12*J96*$X$3</f>
        <v>0</v>
      </c>
      <c r="U96" s="38"/>
      <c r="V96" s="38"/>
      <c r="W96" s="38"/>
      <c r="X96" s="38"/>
      <c r="Y96" s="38"/>
      <c r="Z96" s="54">
        <f t="shared" si="34"/>
        <v>0</v>
      </c>
      <c r="AA96" s="54">
        <f t="shared" si="35"/>
        <v>0</v>
      </c>
      <c r="AB96" s="55">
        <f t="shared" si="38"/>
        <v>0</v>
      </c>
      <c r="AC96" s="55">
        <f t="shared" si="39"/>
        <v>0</v>
      </c>
      <c r="AD96" s="33">
        <f>D96*mmater*Parámetros!$G83*$W$14+AD95*(1+i_noc)</f>
        <v>0</v>
      </c>
      <c r="AE96" s="33">
        <f>E96*12*Parámetros!$F83*$W$14+AE95*(1+i_noc)</f>
        <v>0</v>
      </c>
      <c r="AF96" s="33">
        <f>IFERROR(K96*$B96*VLOOKUP(n_mes_laguna,Parámetros!$Q$2:$S$42,3,FALSE)*$N$14,0)+AF95*(1+i_noc)</f>
        <v>0</v>
      </c>
      <c r="AG96" s="33">
        <f>IFERROR(L96*$B96*VLOOKUP(n_mes_laguna,Parámetros!$Q$2:$S$42,3,FALSE)*$N$14,0)+AG95*(1+i_noc)</f>
        <v>0</v>
      </c>
      <c r="AI96" s="74">
        <f t="shared" si="30"/>
        <v>0</v>
      </c>
      <c r="AJ96" s="74">
        <f t="shared" si="31"/>
        <v>0</v>
      </c>
      <c r="AK96" s="267">
        <f t="shared" si="32"/>
        <v>0</v>
      </c>
      <c r="AL96" s="267">
        <f t="shared" si="33"/>
        <v>0</v>
      </c>
      <c r="AM96" s="39"/>
      <c r="AN96" s="30"/>
      <c r="AO96" s="30"/>
      <c r="AP96" s="30"/>
    </row>
    <row r="97" spans="1:42" x14ac:dyDescent="0.25">
      <c r="A97" s="30">
        <v>2062</v>
      </c>
      <c r="B97" s="33">
        <f>w_uf*UF*Parámetros!C84</f>
        <v>1378826.6311587419</v>
      </c>
      <c r="C97" s="30">
        <f t="shared" si="27"/>
        <v>83</v>
      </c>
      <c r="D97" s="30">
        <f>((A97=Inputs!$C$12)*(Inputs!$D$12) + (A97=Inputs!$C$13)*(Inputs!$D$13) + (A97=Inputs!$C$14)*(Inputs!$D$14)) *(A97 &gt;= a_afil)*(A97&gt;=2024)</f>
        <v>0</v>
      </c>
      <c r="E97" s="30">
        <f>MIN(1,(A97=Inputs!$C$19)*Inputs!$D$19+(A97=Inputs!$C$20)*Inputs!$D$20+(A97=Inputs!$C$21)*Inputs!$D$21*(A97 &gt;= a_afil))</f>
        <v>0</v>
      </c>
      <c r="F97" s="30">
        <f t="shared" si="28"/>
        <v>0</v>
      </c>
      <c r="G97" s="30">
        <f t="shared" si="29"/>
        <v>0</v>
      </c>
      <c r="H97" s="30">
        <v>0.40606272220611572</v>
      </c>
      <c r="I97" s="37">
        <f t="shared" si="36"/>
        <v>0</v>
      </c>
      <c r="J97" s="37">
        <f t="shared" si="37"/>
        <v>0</v>
      </c>
      <c r="K97" s="30">
        <f>1*OR(Inputs!$D$17=$A97,Inputs!$E$17=$A97)*($E97=0)*(F97=1)</f>
        <v>0</v>
      </c>
      <c r="L97" s="30">
        <f>1*OR(Inputs!$D$17=$A97,Inputs!$E$17=$A97)*($E97=0)*(G97=1)</f>
        <v>0</v>
      </c>
      <c r="M97" s="73"/>
      <c r="N97" s="55"/>
      <c r="O97" s="55"/>
      <c r="P97" s="55"/>
      <c r="Q97" s="68">
        <f>MIN($B97,VLOOKUP($A97,Parámetros!$A$2:$J$122,8,FALSE)*UF)*12*I97*$X$2</f>
        <v>0</v>
      </c>
      <c r="R97" s="68">
        <f>MIN($B97,VLOOKUP($A97,Parámetros!$A$2:$J$122,8,FALSE)*UF)*12*J97*$X$2</f>
        <v>0</v>
      </c>
      <c r="S97" s="55">
        <f>MIN($B97,VLOOKUP($A97,Parámetros!$A$2:$J$122,10,FALSE)*UF)*12*I97*$X$3</f>
        <v>0</v>
      </c>
      <c r="T97" s="55">
        <f>MIN($B97,VLOOKUP($A97,Parámetros!$A$2:$J$122,10,FALSE)*UF)*12*J97*$X$3</f>
        <v>0</v>
      </c>
      <c r="U97" s="38"/>
      <c r="V97" s="38"/>
      <c r="W97" s="38"/>
      <c r="X97" s="38"/>
      <c r="Y97" s="38"/>
      <c r="Z97" s="54">
        <f t="shared" si="34"/>
        <v>0</v>
      </c>
      <c r="AA97" s="54">
        <f t="shared" si="35"/>
        <v>0</v>
      </c>
      <c r="AB97" s="55">
        <f t="shared" si="38"/>
        <v>0</v>
      </c>
      <c r="AC97" s="55">
        <f t="shared" si="39"/>
        <v>0</v>
      </c>
      <c r="AD97" s="33">
        <f>D97*mmater*Parámetros!$G84*$W$14+AD96*(1+i_noc)</f>
        <v>0</v>
      </c>
      <c r="AE97" s="33">
        <f>E97*12*Parámetros!$F84*$W$14+AE96*(1+i_noc)</f>
        <v>0</v>
      </c>
      <c r="AF97" s="33">
        <f>IFERROR(K97*$B97*VLOOKUP(n_mes_laguna,Parámetros!$Q$2:$S$42,3,FALSE)*$N$14,0)+AF96*(1+i_noc)</f>
        <v>0</v>
      </c>
      <c r="AG97" s="33">
        <f>IFERROR(L97*$B97*VLOOKUP(n_mes_laguna,Parámetros!$Q$2:$S$42,3,FALSE)*$N$14,0)+AG96*(1+i_noc)</f>
        <v>0</v>
      </c>
      <c r="AI97" s="74">
        <f t="shared" si="30"/>
        <v>0</v>
      </c>
      <c r="AJ97" s="74">
        <f t="shared" si="31"/>
        <v>0</v>
      </c>
      <c r="AK97" s="267">
        <f t="shared" si="32"/>
        <v>0</v>
      </c>
      <c r="AL97" s="267">
        <f t="shared" si="33"/>
        <v>0</v>
      </c>
      <c r="AM97" s="39"/>
      <c r="AN97" s="30"/>
      <c r="AO97" s="30"/>
      <c r="AP97" s="30"/>
    </row>
    <row r="98" spans="1:42" x14ac:dyDescent="0.25">
      <c r="A98" s="30">
        <v>2063</v>
      </c>
      <c r="B98" s="33">
        <f>w_uf*UF*Parámetros!C85</f>
        <v>1396061.9640482261</v>
      </c>
      <c r="C98" s="30">
        <f t="shared" si="27"/>
        <v>84</v>
      </c>
      <c r="D98" s="30">
        <f>((A98=Inputs!$C$12)*(Inputs!$D$12) + (A98=Inputs!$C$13)*(Inputs!$D$13) + (A98=Inputs!$C$14)*(Inputs!$D$14)) *(A98 &gt;= a_afil)*(A98&gt;=2024)</f>
        <v>0</v>
      </c>
      <c r="E98" s="30">
        <f>MIN(1,(A98=Inputs!$C$19)*Inputs!$D$19+(A98=Inputs!$C$20)*Inputs!$D$20+(A98=Inputs!$C$21)*Inputs!$D$21*(A98 &gt;= a_afil))</f>
        <v>0</v>
      </c>
      <c r="F98" s="30">
        <f t="shared" si="28"/>
        <v>0</v>
      </c>
      <c r="G98" s="30">
        <f t="shared" si="29"/>
        <v>0</v>
      </c>
      <c r="H98" s="30">
        <v>0.10613375902175903</v>
      </c>
      <c r="I98" s="37">
        <f t="shared" si="36"/>
        <v>0</v>
      </c>
      <c r="J98" s="37">
        <f t="shared" si="37"/>
        <v>0</v>
      </c>
      <c r="K98" s="30">
        <f>1*OR(Inputs!$D$17=$A98,Inputs!$E$17=$A98)*($E98=0)*(F98=1)</f>
        <v>0</v>
      </c>
      <c r="L98" s="30">
        <f>1*OR(Inputs!$D$17=$A98,Inputs!$E$17=$A98)*($E98=0)*(G98=1)</f>
        <v>0</v>
      </c>
      <c r="M98" s="73"/>
      <c r="N98" s="55"/>
      <c r="O98" s="55"/>
      <c r="P98" s="55"/>
      <c r="Q98" s="68">
        <f>MIN($B98,VLOOKUP($A98,Parámetros!$A$2:$J$122,8,FALSE)*UF)*12*I98*$X$2</f>
        <v>0</v>
      </c>
      <c r="R98" s="68">
        <f>MIN($B98,VLOOKUP($A98,Parámetros!$A$2:$J$122,8,FALSE)*UF)*12*J98*$X$2</f>
        <v>0</v>
      </c>
      <c r="S98" s="55">
        <f>MIN($B98,VLOOKUP($A98,Parámetros!$A$2:$J$122,10,FALSE)*UF)*12*I98*$X$3</f>
        <v>0</v>
      </c>
      <c r="T98" s="55">
        <f>MIN($B98,VLOOKUP($A98,Parámetros!$A$2:$J$122,10,FALSE)*UF)*12*J98*$X$3</f>
        <v>0</v>
      </c>
      <c r="U98" s="38"/>
      <c r="V98" s="38"/>
      <c r="W98" s="38"/>
      <c r="X98" s="38"/>
      <c r="Y98" s="38"/>
      <c r="Z98" s="54">
        <f t="shared" si="34"/>
        <v>0</v>
      </c>
      <c r="AA98" s="54">
        <f t="shared" si="35"/>
        <v>0</v>
      </c>
      <c r="AB98" s="55">
        <f t="shared" si="38"/>
        <v>0</v>
      </c>
      <c r="AC98" s="55">
        <f t="shared" si="39"/>
        <v>0</v>
      </c>
      <c r="AD98" s="33">
        <f>D98*mmater*Parámetros!$G85*$W$14+AD97*(1+i_noc)</f>
        <v>0</v>
      </c>
      <c r="AE98" s="33">
        <f>E98*12*Parámetros!$F85*$W$14+AE97*(1+i_noc)</f>
        <v>0</v>
      </c>
      <c r="AF98" s="33">
        <f>IFERROR(K98*$B98*VLOOKUP(n_mes_laguna,Parámetros!$Q$2:$S$42,3,FALSE)*$N$14,0)+AF97*(1+i_noc)</f>
        <v>0</v>
      </c>
      <c r="AG98" s="33">
        <f>IFERROR(L98*$B98*VLOOKUP(n_mes_laguna,Parámetros!$Q$2:$S$42,3,FALSE)*$N$14,0)+AG97*(1+i_noc)</f>
        <v>0</v>
      </c>
      <c r="AI98" s="74">
        <f t="shared" si="30"/>
        <v>0</v>
      </c>
      <c r="AJ98" s="74">
        <f t="shared" si="31"/>
        <v>0</v>
      </c>
      <c r="AK98" s="267">
        <f t="shared" si="32"/>
        <v>0</v>
      </c>
      <c r="AL98" s="267">
        <f t="shared" si="33"/>
        <v>0</v>
      </c>
      <c r="AM98" s="39"/>
      <c r="AN98" s="30"/>
      <c r="AO98" s="30"/>
      <c r="AP98" s="30"/>
    </row>
    <row r="99" spans="1:42" x14ac:dyDescent="0.25">
      <c r="A99" s="30">
        <v>2064</v>
      </c>
      <c r="B99" s="33">
        <f>w_uf*UF*Parámetros!C86</f>
        <v>1413512.7385988289</v>
      </c>
      <c r="C99" s="30">
        <f t="shared" si="27"/>
        <v>85</v>
      </c>
      <c r="D99" s="30">
        <f>((A99=Inputs!$C$12)*(Inputs!$D$12) + (A99=Inputs!$C$13)*(Inputs!$D$13) + (A99=Inputs!$C$14)*(Inputs!$D$14)) *(A99 &gt;= a_afil)*(A99&gt;=2024)</f>
        <v>0</v>
      </c>
      <c r="E99" s="30">
        <f>MIN(1,(A99=Inputs!$C$19)*Inputs!$D$19+(A99=Inputs!$C$20)*Inputs!$D$20+(A99=Inputs!$C$21)*Inputs!$D$21*(A99 &gt;= a_afil))</f>
        <v>0</v>
      </c>
      <c r="F99" s="30">
        <f t="shared" si="28"/>
        <v>0</v>
      </c>
      <c r="G99" s="30">
        <f t="shared" si="29"/>
        <v>0</v>
      </c>
      <c r="H99" s="30">
        <v>0.2761232852935791</v>
      </c>
      <c r="I99" s="37">
        <f t="shared" si="36"/>
        <v>0</v>
      </c>
      <c r="J99" s="37">
        <f t="shared" si="37"/>
        <v>0</v>
      </c>
      <c r="K99" s="30">
        <f>1*OR(Inputs!$D$17=$A99,Inputs!$E$17=$A99)*($E99=0)*(F99=1)</f>
        <v>0</v>
      </c>
      <c r="L99" s="30">
        <f>1*OR(Inputs!$D$17=$A99,Inputs!$E$17=$A99)*($E99=0)*(G99=1)</f>
        <v>0</v>
      </c>
      <c r="M99" s="73"/>
      <c r="N99" s="55"/>
      <c r="O99" s="55"/>
      <c r="P99" s="55"/>
      <c r="Q99" s="68">
        <f>MIN($B99,VLOOKUP($A99,Parámetros!$A$2:$J$122,8,FALSE)*UF)*12*I99*$X$2</f>
        <v>0</v>
      </c>
      <c r="R99" s="68">
        <f>MIN($B99,VLOOKUP($A99,Parámetros!$A$2:$J$122,8,FALSE)*UF)*12*J99*$X$2</f>
        <v>0</v>
      </c>
      <c r="S99" s="55">
        <f>MIN($B99,VLOOKUP($A99,Parámetros!$A$2:$J$122,10,FALSE)*UF)*12*I99*$X$3</f>
        <v>0</v>
      </c>
      <c r="T99" s="55">
        <f>MIN($B99,VLOOKUP($A99,Parámetros!$A$2:$J$122,10,FALSE)*UF)*12*J99*$X$3</f>
        <v>0</v>
      </c>
      <c r="U99" s="38"/>
      <c r="V99" s="38"/>
      <c r="W99" s="38"/>
      <c r="X99" s="38"/>
      <c r="Y99" s="38"/>
      <c r="Z99" s="54">
        <f t="shared" si="34"/>
        <v>0</v>
      </c>
      <c r="AA99" s="54">
        <f t="shared" si="35"/>
        <v>0</v>
      </c>
      <c r="AB99" s="55">
        <f t="shared" si="38"/>
        <v>0</v>
      </c>
      <c r="AC99" s="55">
        <f t="shared" si="39"/>
        <v>0</v>
      </c>
      <c r="AD99" s="33">
        <f>D99*mmater*Parámetros!$G86*$W$14+AD98*(1+i_noc)</f>
        <v>0</v>
      </c>
      <c r="AE99" s="33">
        <f>E99*12*Parámetros!$F86*$W$14+AE98*(1+i_noc)</f>
        <v>0</v>
      </c>
      <c r="AF99" s="33">
        <f>IFERROR(K99*$B99*VLOOKUP(n_mes_laguna,Parámetros!$Q$2:$S$42,3,FALSE)*$N$14,0)+AF98*(1+i_noc)</f>
        <v>0</v>
      </c>
      <c r="AG99" s="33">
        <f>IFERROR(L99*$B99*VLOOKUP(n_mes_laguna,Parámetros!$Q$2:$S$42,3,FALSE)*$N$14,0)+AG98*(1+i_noc)</f>
        <v>0</v>
      </c>
      <c r="AI99" s="74">
        <f t="shared" si="30"/>
        <v>0</v>
      </c>
      <c r="AJ99" s="74">
        <f t="shared" si="31"/>
        <v>0</v>
      </c>
      <c r="AK99" s="267">
        <f t="shared" si="32"/>
        <v>0</v>
      </c>
      <c r="AL99" s="267">
        <f t="shared" si="33"/>
        <v>0</v>
      </c>
      <c r="AM99" s="39"/>
      <c r="AN99" s="30"/>
      <c r="AO99" s="30"/>
      <c r="AP99" s="30"/>
    </row>
    <row r="100" spans="1:42" x14ac:dyDescent="0.25">
      <c r="A100" s="30">
        <v>2065</v>
      </c>
      <c r="B100" s="33">
        <f>w_uf*UF*Parámetros!C87</f>
        <v>1431181.647831314</v>
      </c>
      <c r="C100" s="30">
        <f t="shared" si="27"/>
        <v>86</v>
      </c>
      <c r="D100" s="30">
        <f>((A100=Inputs!$C$12)*(Inputs!$D$12) + (A100=Inputs!$C$13)*(Inputs!$D$13) + (A100=Inputs!$C$14)*(Inputs!$D$14)) *(A100 &gt;= a_afil)*(A100&gt;=2024)</f>
        <v>0</v>
      </c>
      <c r="E100" s="30">
        <f>MIN(1,(A100=Inputs!$C$19)*Inputs!$D$19+(A100=Inputs!$C$20)*Inputs!$D$20+(A100=Inputs!$C$21)*Inputs!$D$21*(A100 &gt;= a_afil))</f>
        <v>0</v>
      </c>
      <c r="F100" s="30">
        <f t="shared" si="28"/>
        <v>0</v>
      </c>
      <c r="G100" s="30">
        <f t="shared" si="29"/>
        <v>0</v>
      </c>
      <c r="H100" s="30">
        <v>0.6430467963218689</v>
      </c>
      <c r="I100" s="37">
        <f t="shared" si="36"/>
        <v>0</v>
      </c>
      <c r="J100" s="37">
        <f t="shared" si="37"/>
        <v>0</v>
      </c>
      <c r="K100" s="30">
        <f>1*OR(Inputs!$D$17=$A100,Inputs!$E$17=$A100)*($E100=0)*(F100=1)</f>
        <v>0</v>
      </c>
      <c r="L100" s="30">
        <f>1*OR(Inputs!$D$17=$A100,Inputs!$E$17=$A100)*($E100=0)*(G100=1)</f>
        <v>0</v>
      </c>
      <c r="M100" s="73"/>
      <c r="N100" s="55"/>
      <c r="O100" s="55"/>
      <c r="P100" s="55"/>
      <c r="Q100" s="68">
        <f>MIN($B100,VLOOKUP($A100,Parámetros!$A$2:$J$122,8,FALSE)*UF)*12*I100*$X$2</f>
        <v>0</v>
      </c>
      <c r="R100" s="68">
        <f>MIN($B100,VLOOKUP($A100,Parámetros!$A$2:$J$122,8,FALSE)*UF)*12*J100*$X$2</f>
        <v>0</v>
      </c>
      <c r="S100" s="55">
        <f>MIN($B100,VLOOKUP($A100,Parámetros!$A$2:$J$122,10,FALSE)*UF)*12*I100*$X$3</f>
        <v>0</v>
      </c>
      <c r="T100" s="55">
        <f>MIN($B100,VLOOKUP($A100,Parámetros!$A$2:$J$122,10,FALSE)*UF)*12*J100*$X$3</f>
        <v>0</v>
      </c>
      <c r="U100" s="38"/>
      <c r="V100" s="38"/>
      <c r="W100" s="38"/>
      <c r="X100" s="38"/>
      <c r="Y100" s="38"/>
      <c r="Z100" s="54">
        <f t="shared" si="34"/>
        <v>0</v>
      </c>
      <c r="AA100" s="54">
        <f t="shared" si="35"/>
        <v>0</v>
      </c>
      <c r="AB100" s="55">
        <f t="shared" si="38"/>
        <v>0</v>
      </c>
      <c r="AC100" s="55">
        <f t="shared" si="39"/>
        <v>0</v>
      </c>
      <c r="AD100" s="33">
        <f>D100*mmater*Parámetros!$G87*$W$14+AD99*(1+i_noc)</f>
        <v>0</v>
      </c>
      <c r="AE100" s="33">
        <f>E100*12*Parámetros!$F87*$W$14+AE99*(1+i_noc)</f>
        <v>0</v>
      </c>
      <c r="AF100" s="33">
        <f>IFERROR(K100*$B100*VLOOKUP(n_mes_laguna,Parámetros!$Q$2:$S$42,3,FALSE)*$N$14,0)+AF99*(1+i_noc)</f>
        <v>0</v>
      </c>
      <c r="AG100" s="33">
        <f>IFERROR(L100*$B100*VLOOKUP(n_mes_laguna,Parámetros!$Q$2:$S$42,3,FALSE)*$N$14,0)+AG99*(1+i_noc)</f>
        <v>0</v>
      </c>
      <c r="AI100" s="74">
        <f t="shared" si="30"/>
        <v>0</v>
      </c>
      <c r="AJ100" s="74">
        <f t="shared" si="31"/>
        <v>0</v>
      </c>
      <c r="AK100" s="267">
        <f t="shared" si="32"/>
        <v>0</v>
      </c>
      <c r="AL100" s="267">
        <f t="shared" si="33"/>
        <v>0</v>
      </c>
      <c r="AM100" s="39"/>
      <c r="AN100" s="30"/>
      <c r="AO100" s="30"/>
      <c r="AP100" s="30"/>
    </row>
    <row r="101" spans="1:42" x14ac:dyDescent="0.25">
      <c r="A101" s="30">
        <v>2066</v>
      </c>
      <c r="B101" s="33">
        <f>w_uf*UF*Parámetros!C88</f>
        <v>1449071.4184292057</v>
      </c>
      <c r="C101" s="30">
        <f t="shared" si="27"/>
        <v>87</v>
      </c>
      <c r="D101" s="30">
        <f>((A101=Inputs!$C$12)*(Inputs!$D$12) + (A101=Inputs!$C$13)*(Inputs!$D$13) + (A101=Inputs!$C$14)*(Inputs!$D$14)) *(A101 &gt;= a_afil)*(A101&gt;=2024)</f>
        <v>0</v>
      </c>
      <c r="E101" s="30">
        <f>MIN(1,(A101=Inputs!$C$19)*Inputs!$D$19+(A101=Inputs!$C$20)*Inputs!$D$20+(A101=Inputs!$C$21)*Inputs!$D$21*(A101 &gt;= a_afil))</f>
        <v>0</v>
      </c>
      <c r="F101" s="30">
        <f t="shared" si="28"/>
        <v>0</v>
      </c>
      <c r="G101" s="30">
        <f t="shared" si="29"/>
        <v>0</v>
      </c>
      <c r="H101" s="30">
        <v>0.84909999370574951</v>
      </c>
      <c r="I101" s="37">
        <f t="shared" si="36"/>
        <v>0</v>
      </c>
      <c r="J101" s="37">
        <f t="shared" si="37"/>
        <v>0</v>
      </c>
      <c r="K101" s="30">
        <f>1*OR(Inputs!$D$17=$A101,Inputs!$E$17=$A101)*($E101=0)*(F101=1)</f>
        <v>0</v>
      </c>
      <c r="L101" s="30">
        <f>1*OR(Inputs!$D$17=$A101,Inputs!$E$17=$A101)*($E101=0)*(G101=1)</f>
        <v>0</v>
      </c>
      <c r="M101" s="73"/>
      <c r="N101" s="55"/>
      <c r="O101" s="55"/>
      <c r="P101" s="55"/>
      <c r="Q101" s="68">
        <f>MIN($B101,VLOOKUP($A101,Parámetros!$A$2:$J$122,8,FALSE)*UF)*12*I101*$X$2</f>
        <v>0</v>
      </c>
      <c r="R101" s="68">
        <f>MIN($B101,VLOOKUP($A101,Parámetros!$A$2:$J$122,8,FALSE)*UF)*12*J101*$X$2</f>
        <v>0</v>
      </c>
      <c r="S101" s="55">
        <f>MIN($B101,VLOOKUP($A101,Parámetros!$A$2:$J$122,10,FALSE)*UF)*12*I101*$X$3</f>
        <v>0</v>
      </c>
      <c r="T101" s="55">
        <f>MIN($B101,VLOOKUP($A101,Parámetros!$A$2:$J$122,10,FALSE)*UF)*12*J101*$X$3</f>
        <v>0</v>
      </c>
      <c r="U101" s="38"/>
      <c r="V101" s="38"/>
      <c r="W101" s="38"/>
      <c r="X101" s="38"/>
      <c r="Y101" s="38"/>
      <c r="Z101" s="54">
        <f t="shared" si="34"/>
        <v>0</v>
      </c>
      <c r="AA101" s="54">
        <f t="shared" si="35"/>
        <v>0</v>
      </c>
      <c r="AB101" s="55">
        <f t="shared" si="38"/>
        <v>0</v>
      </c>
      <c r="AC101" s="55">
        <f t="shared" si="39"/>
        <v>0</v>
      </c>
      <c r="AD101" s="33">
        <f>D101*mmater*Parámetros!$G88*$W$14+AD100*(1+i_noc)</f>
        <v>0</v>
      </c>
      <c r="AE101" s="33">
        <f>E101*12*Parámetros!$F88*$W$14+AE100*(1+i_noc)</f>
        <v>0</v>
      </c>
      <c r="AF101" s="33">
        <f>IFERROR(K101*$B101*VLOOKUP(n_mes_laguna,Parámetros!$Q$2:$S$42,3,FALSE)*$N$14,0)+AF100*(1+i_noc)</f>
        <v>0</v>
      </c>
      <c r="AG101" s="33">
        <f>IFERROR(L101*$B101*VLOOKUP(n_mes_laguna,Parámetros!$Q$2:$S$42,3,FALSE)*$N$14,0)+AG100*(1+i_noc)</f>
        <v>0</v>
      </c>
      <c r="AI101" s="74">
        <f t="shared" si="30"/>
        <v>0</v>
      </c>
      <c r="AJ101" s="74">
        <f t="shared" si="31"/>
        <v>0</v>
      </c>
      <c r="AK101" s="267">
        <f t="shared" si="32"/>
        <v>0</v>
      </c>
      <c r="AL101" s="267">
        <f t="shared" si="33"/>
        <v>0</v>
      </c>
      <c r="AM101" s="39"/>
      <c r="AN101" s="30"/>
      <c r="AO101" s="30"/>
      <c r="AP101" s="30"/>
    </row>
    <row r="102" spans="1:42" x14ac:dyDescent="0.25">
      <c r="A102" s="30">
        <v>2067</v>
      </c>
      <c r="B102" s="33">
        <f>w_uf*UF*Parámetros!C89</f>
        <v>1467184.8111595705</v>
      </c>
      <c r="C102" s="30">
        <f t="shared" si="27"/>
        <v>88</v>
      </c>
      <c r="D102" s="30">
        <f>((A102=Inputs!$C$12)*(Inputs!$D$12) + (A102=Inputs!$C$13)*(Inputs!$D$13) + (A102=Inputs!$C$14)*(Inputs!$D$14)) *(A102 &gt;= a_afil)*(A102&gt;=2024)</f>
        <v>0</v>
      </c>
      <c r="E102" s="30">
        <f>MIN(1,(A102=Inputs!$C$19)*Inputs!$D$19+(A102=Inputs!$C$20)*Inputs!$D$20+(A102=Inputs!$C$21)*Inputs!$D$21*(A102 &gt;= a_afil))</f>
        <v>0</v>
      </c>
      <c r="F102" s="30">
        <f t="shared" si="28"/>
        <v>0</v>
      </c>
      <c r="G102" s="30">
        <f t="shared" si="29"/>
        <v>0</v>
      </c>
      <c r="H102" s="30">
        <v>0.49796921014785767</v>
      </c>
      <c r="I102" s="37">
        <f t="shared" si="36"/>
        <v>0</v>
      </c>
      <c r="J102" s="37">
        <f t="shared" si="37"/>
        <v>0</v>
      </c>
      <c r="K102" s="30">
        <f>1*OR(Inputs!$D$17=$A102,Inputs!$E$17=$A102)*($E102=0)*(F102=1)</f>
        <v>0</v>
      </c>
      <c r="L102" s="30">
        <f>1*OR(Inputs!$D$17=$A102,Inputs!$E$17=$A102)*($E102=0)*(G102=1)</f>
        <v>0</v>
      </c>
      <c r="M102" s="73"/>
      <c r="N102" s="55"/>
      <c r="O102" s="55"/>
      <c r="P102" s="55"/>
      <c r="Q102" s="68">
        <f>MIN($B102,VLOOKUP($A102,Parámetros!$A$2:$J$122,8,FALSE)*UF)*12*I102*$X$2</f>
        <v>0</v>
      </c>
      <c r="R102" s="68">
        <f>MIN($B102,VLOOKUP($A102,Parámetros!$A$2:$J$122,8,FALSE)*UF)*12*J102*$X$2</f>
        <v>0</v>
      </c>
      <c r="S102" s="55">
        <f>MIN($B102,VLOOKUP($A102,Parámetros!$A$2:$J$122,10,FALSE)*UF)*12*I102*$X$3</f>
        <v>0</v>
      </c>
      <c r="T102" s="55">
        <f>MIN($B102,VLOOKUP($A102,Parámetros!$A$2:$J$122,10,FALSE)*UF)*12*J102*$X$3</f>
        <v>0</v>
      </c>
      <c r="U102" s="38"/>
      <c r="V102" s="38"/>
      <c r="W102" s="38"/>
      <c r="X102" s="38"/>
      <c r="Y102" s="38"/>
      <c r="Z102" s="54">
        <f t="shared" si="34"/>
        <v>0</v>
      </c>
      <c r="AA102" s="54">
        <f t="shared" si="35"/>
        <v>0</v>
      </c>
      <c r="AB102" s="55">
        <f t="shared" si="38"/>
        <v>0</v>
      </c>
      <c r="AC102" s="55">
        <f t="shared" si="39"/>
        <v>0</v>
      </c>
      <c r="AD102" s="33">
        <f>D102*mmater*Parámetros!$G89*$W$14+AD101*(1+i_noc)</f>
        <v>0</v>
      </c>
      <c r="AE102" s="33">
        <f>E102*12*Parámetros!$F89*$W$14+AE101*(1+i_noc)</f>
        <v>0</v>
      </c>
      <c r="AF102" s="33">
        <f>IFERROR(K102*$B102*VLOOKUP(n_mes_laguna,Parámetros!$Q$2:$S$42,3,FALSE)*$N$14,0)+AF101*(1+i_noc)</f>
        <v>0</v>
      </c>
      <c r="AG102" s="33">
        <f>IFERROR(L102*$B102*VLOOKUP(n_mes_laguna,Parámetros!$Q$2:$S$42,3,FALSE)*$N$14,0)+AG101*(1+i_noc)</f>
        <v>0</v>
      </c>
      <c r="AI102" s="74">
        <f t="shared" si="30"/>
        <v>0</v>
      </c>
      <c r="AJ102" s="74">
        <f t="shared" si="31"/>
        <v>0</v>
      </c>
      <c r="AK102" s="267">
        <f t="shared" si="32"/>
        <v>0</v>
      </c>
      <c r="AL102" s="267">
        <f t="shared" si="33"/>
        <v>0</v>
      </c>
      <c r="AM102" s="39"/>
      <c r="AN102" s="30"/>
      <c r="AO102" s="30"/>
      <c r="AP102" s="30"/>
    </row>
    <row r="103" spans="1:42" x14ac:dyDescent="0.25">
      <c r="A103" s="30">
        <v>2068</v>
      </c>
      <c r="B103" s="33">
        <f>w_uf*UF*Parámetros!C90</f>
        <v>1485524.621299065</v>
      </c>
      <c r="C103" s="30">
        <f t="shared" si="27"/>
        <v>89</v>
      </c>
      <c r="D103" s="30">
        <f>((A103=Inputs!$C$12)*(Inputs!$D$12) + (A103=Inputs!$C$13)*(Inputs!$D$13) + (A103=Inputs!$C$14)*(Inputs!$D$14)) *(A103 &gt;= a_afil)*(A103&gt;=2024)</f>
        <v>0</v>
      </c>
      <c r="E103" s="30">
        <f>MIN(1,(A103=Inputs!$C$19)*Inputs!$D$19+(A103=Inputs!$C$20)*Inputs!$D$20+(A103=Inputs!$C$21)*Inputs!$D$21*(A103 &gt;= a_afil))</f>
        <v>0</v>
      </c>
      <c r="F103" s="30">
        <f t="shared" si="28"/>
        <v>0</v>
      </c>
      <c r="G103" s="30">
        <f t="shared" si="29"/>
        <v>0</v>
      </c>
      <c r="H103" s="30">
        <v>0.1877751350402832</v>
      </c>
      <c r="I103" s="37">
        <f t="shared" si="36"/>
        <v>0</v>
      </c>
      <c r="J103" s="37">
        <f t="shared" si="37"/>
        <v>0</v>
      </c>
      <c r="K103" s="30">
        <f>1*OR(Inputs!$D$17=$A103,Inputs!$E$17=$A103)*($E103=0)*(F103=1)</f>
        <v>0</v>
      </c>
      <c r="L103" s="30">
        <f>1*OR(Inputs!$D$17=$A103,Inputs!$E$17=$A103)*($E103=0)*(G103=1)</f>
        <v>0</v>
      </c>
      <c r="M103" s="73"/>
      <c r="N103" s="55"/>
      <c r="O103" s="55"/>
      <c r="P103" s="55"/>
      <c r="Q103" s="68">
        <f>MIN($B103,VLOOKUP($A103,Parámetros!$A$2:$J$122,8,FALSE)*UF)*12*I103*$X$2</f>
        <v>0</v>
      </c>
      <c r="R103" s="68">
        <f>MIN($B103,VLOOKUP($A103,Parámetros!$A$2:$J$122,8,FALSE)*UF)*12*J103*$X$2</f>
        <v>0</v>
      </c>
      <c r="S103" s="55">
        <f>MIN($B103,VLOOKUP($A103,Parámetros!$A$2:$J$122,10,FALSE)*UF)*12*I103*$X$3</f>
        <v>0</v>
      </c>
      <c r="T103" s="55">
        <f>MIN($B103,VLOOKUP($A103,Parámetros!$A$2:$J$122,10,FALSE)*UF)*12*J103*$X$3</f>
        <v>0</v>
      </c>
      <c r="U103" s="38"/>
      <c r="V103" s="38"/>
      <c r="W103" s="38"/>
      <c r="X103" s="38"/>
      <c r="Y103" s="38"/>
      <c r="Z103" s="54">
        <f t="shared" si="34"/>
        <v>0</v>
      </c>
      <c r="AA103" s="54">
        <f t="shared" si="35"/>
        <v>0</v>
      </c>
      <c r="AB103" s="55">
        <f t="shared" si="38"/>
        <v>0</v>
      </c>
      <c r="AC103" s="55">
        <f t="shared" si="39"/>
        <v>0</v>
      </c>
      <c r="AD103" s="33">
        <f>D103*mmater*Parámetros!$G90*$W$14+AD102*(1+i_noc)</f>
        <v>0</v>
      </c>
      <c r="AE103" s="33">
        <f>E103*12*Parámetros!$F90*$W$14+AE102*(1+i_noc)</f>
        <v>0</v>
      </c>
      <c r="AF103" s="33">
        <f>IFERROR(K103*$B103*VLOOKUP(n_mes_laguna,Parámetros!$Q$2:$S$42,3,FALSE)*$N$14,0)+AF102*(1+i_noc)</f>
        <v>0</v>
      </c>
      <c r="AG103" s="33">
        <f>IFERROR(L103*$B103*VLOOKUP(n_mes_laguna,Parámetros!$Q$2:$S$42,3,FALSE)*$N$14,0)+AG102*(1+i_noc)</f>
        <v>0</v>
      </c>
      <c r="AI103" s="74">
        <f t="shared" si="30"/>
        <v>0</v>
      </c>
      <c r="AJ103" s="74">
        <f t="shared" si="31"/>
        <v>0</v>
      </c>
      <c r="AK103" s="267">
        <f t="shared" si="32"/>
        <v>0</v>
      </c>
      <c r="AL103" s="267">
        <f t="shared" si="33"/>
        <v>0</v>
      </c>
      <c r="AM103" s="39"/>
      <c r="AN103" s="30"/>
      <c r="AO103" s="30"/>
      <c r="AP103" s="30"/>
    </row>
    <row r="104" spans="1:42" x14ac:dyDescent="0.25">
      <c r="A104" s="30">
        <v>2069</v>
      </c>
      <c r="B104" s="33">
        <f>w_uf*UF*Parámetros!C91</f>
        <v>1504093.6790653034</v>
      </c>
      <c r="C104" s="30">
        <f t="shared" si="27"/>
        <v>90</v>
      </c>
      <c r="D104" s="30">
        <f>((A104=Inputs!$C$12)*(Inputs!$D$12) + (A104=Inputs!$C$13)*(Inputs!$D$13) + (A104=Inputs!$C$14)*(Inputs!$D$14)) *(A104 &gt;= a_afil)*(A104&gt;=2024)</f>
        <v>0</v>
      </c>
      <c r="E104" s="30">
        <f>MIN(1,(A104=Inputs!$C$19)*Inputs!$D$19+(A104=Inputs!$C$20)*Inputs!$D$20+(A104=Inputs!$C$21)*Inputs!$D$21*(A104 &gt;= a_afil))</f>
        <v>0</v>
      </c>
      <c r="F104" s="30">
        <f t="shared" si="28"/>
        <v>0</v>
      </c>
      <c r="G104" s="30">
        <f t="shared" si="29"/>
        <v>0</v>
      </c>
      <c r="H104" s="30">
        <v>0.89661663770675659</v>
      </c>
      <c r="I104" s="37">
        <f t="shared" si="36"/>
        <v>0</v>
      </c>
      <c r="J104" s="37">
        <f t="shared" si="37"/>
        <v>0</v>
      </c>
      <c r="K104" s="30">
        <f>1*OR(Inputs!$D$17=$A104,Inputs!$E$17=$A104)*($E104=0)*(F104=1)</f>
        <v>0</v>
      </c>
      <c r="L104" s="30">
        <f>1*OR(Inputs!$D$17=$A104,Inputs!$E$17=$A104)*($E104=0)*(G104=1)</f>
        <v>0</v>
      </c>
      <c r="M104" s="73"/>
      <c r="N104" s="55"/>
      <c r="O104" s="55"/>
      <c r="P104" s="55"/>
      <c r="Q104" s="68">
        <f>MIN($B104,VLOOKUP($A104,Parámetros!$A$2:$J$122,8,FALSE)*UF)*12*I104*$X$2</f>
        <v>0</v>
      </c>
      <c r="R104" s="68">
        <f>MIN($B104,VLOOKUP($A104,Parámetros!$A$2:$J$122,8,FALSE)*UF)*12*J104*$X$2</f>
        <v>0</v>
      </c>
      <c r="S104" s="55">
        <f>MIN($B104,VLOOKUP($A104,Parámetros!$A$2:$J$122,10,FALSE)*UF)*12*I104*$X$3</f>
        <v>0</v>
      </c>
      <c r="T104" s="55">
        <f>MIN($B104,VLOOKUP($A104,Parámetros!$A$2:$J$122,10,FALSE)*UF)*12*J104*$X$3</f>
        <v>0</v>
      </c>
      <c r="U104" s="38"/>
      <c r="V104" s="38"/>
      <c r="W104" s="38"/>
      <c r="X104" s="38"/>
      <c r="Y104" s="38"/>
      <c r="Z104" s="54">
        <f t="shared" si="34"/>
        <v>0</v>
      </c>
      <c r="AA104" s="54">
        <f t="shared" si="35"/>
        <v>0</v>
      </c>
      <c r="AB104" s="55">
        <f t="shared" si="38"/>
        <v>0</v>
      </c>
      <c r="AC104" s="55">
        <f t="shared" si="39"/>
        <v>0</v>
      </c>
      <c r="AD104" s="33">
        <f>D104*mmater*Parámetros!$G91*$W$14+AD103*(1+i_noc)</f>
        <v>0</v>
      </c>
      <c r="AE104" s="33">
        <f>E104*12*Parámetros!$F91*$W$14+AE103*(1+i_noc)</f>
        <v>0</v>
      </c>
      <c r="AF104" s="33">
        <f>IFERROR(K104*$B104*VLOOKUP(n_mes_laguna,Parámetros!$Q$2:$S$42,3,FALSE)*$N$14,0)+AF103*(1+i_noc)</f>
        <v>0</v>
      </c>
      <c r="AG104" s="33">
        <f>IFERROR(L104*$B104*VLOOKUP(n_mes_laguna,Parámetros!$Q$2:$S$42,3,FALSE)*$N$14,0)+AG103*(1+i_noc)</f>
        <v>0</v>
      </c>
      <c r="AI104" s="74">
        <f t="shared" si="30"/>
        <v>0</v>
      </c>
      <c r="AJ104" s="74">
        <f t="shared" si="31"/>
        <v>0</v>
      </c>
      <c r="AK104" s="267">
        <f t="shared" si="32"/>
        <v>0</v>
      </c>
      <c r="AL104" s="267">
        <f t="shared" si="33"/>
        <v>0</v>
      </c>
      <c r="AM104" s="39"/>
      <c r="AN104" s="30"/>
      <c r="AO104" s="30"/>
      <c r="AP104" s="30"/>
    </row>
    <row r="105" spans="1:42" x14ac:dyDescent="0.25">
      <c r="A105" s="30">
        <v>2070</v>
      </c>
      <c r="B105" s="33">
        <f>w_uf*UF*Parámetros!C92</f>
        <v>1522894.8500536196</v>
      </c>
      <c r="C105" s="30">
        <f t="shared" si="27"/>
        <v>91</v>
      </c>
      <c r="D105" s="30">
        <f>((A105=Inputs!$C$12)*(Inputs!$D$12) + (A105=Inputs!$C$13)*(Inputs!$D$13) + (A105=Inputs!$C$14)*(Inputs!$D$14)) *(A105 &gt;= a_afil)*(A105&gt;=2024)</f>
        <v>0</v>
      </c>
      <c r="E105" s="30">
        <f>MIN(1,(A105=Inputs!$C$19)*Inputs!$D$19+(A105=Inputs!$C$20)*Inputs!$D$20+(A105=Inputs!$C$21)*Inputs!$D$21*(A105 &gt;= a_afil))</f>
        <v>0</v>
      </c>
      <c r="F105" s="30">
        <f t="shared" si="28"/>
        <v>0</v>
      </c>
      <c r="G105" s="30">
        <f t="shared" si="29"/>
        <v>0</v>
      </c>
      <c r="H105" s="30">
        <v>0.37281429767608643</v>
      </c>
      <c r="I105" s="37">
        <f t="shared" si="36"/>
        <v>0</v>
      </c>
      <c r="J105" s="37">
        <f t="shared" si="37"/>
        <v>0</v>
      </c>
      <c r="K105" s="30">
        <f>1*OR(Inputs!$D$17=$A105,Inputs!$E$17=$A105)*($E105=0)*(F105=1)</f>
        <v>0</v>
      </c>
      <c r="L105" s="30">
        <f>1*OR(Inputs!$D$17=$A105,Inputs!$E$17=$A105)*($E105=0)*(G105=1)</f>
        <v>0</v>
      </c>
      <c r="M105" s="73"/>
      <c r="N105" s="55"/>
      <c r="O105" s="55"/>
      <c r="P105" s="55"/>
      <c r="Q105" s="68">
        <f>MIN($B105,VLOOKUP($A105,Parámetros!$A$2:$J$122,8,FALSE)*UF)*12*I105*$X$2</f>
        <v>0</v>
      </c>
      <c r="R105" s="68">
        <f>MIN($B105,VLOOKUP($A105,Parámetros!$A$2:$J$122,8,FALSE)*UF)*12*J105*$X$2</f>
        <v>0</v>
      </c>
      <c r="S105" s="55">
        <f>MIN($B105,VLOOKUP($A105,Parámetros!$A$2:$J$122,10,FALSE)*UF)*12*I105*$X$3</f>
        <v>0</v>
      </c>
      <c r="T105" s="55">
        <f>MIN($B105,VLOOKUP($A105,Parámetros!$A$2:$J$122,10,FALSE)*UF)*12*J105*$X$3</f>
        <v>0</v>
      </c>
      <c r="U105" s="38"/>
      <c r="V105" s="38"/>
      <c r="W105" s="38"/>
      <c r="X105" s="38"/>
      <c r="Y105" s="38"/>
      <c r="Z105" s="54">
        <f t="shared" si="34"/>
        <v>0</v>
      </c>
      <c r="AA105" s="54">
        <f t="shared" si="35"/>
        <v>0</v>
      </c>
      <c r="AB105" s="55">
        <f t="shared" si="38"/>
        <v>0</v>
      </c>
      <c r="AC105" s="55">
        <f t="shared" si="39"/>
        <v>0</v>
      </c>
      <c r="AD105" s="33">
        <f>D105*mmater*Parámetros!$G92*$W$14+AD104*(1+i_noc)</f>
        <v>0</v>
      </c>
      <c r="AE105" s="33">
        <f>E105*12*Parámetros!$F92*$W$14+AE104*(1+i_noc)</f>
        <v>0</v>
      </c>
      <c r="AF105" s="33">
        <f>IFERROR(K105*$B105*VLOOKUP(n_mes_laguna,Parámetros!$Q$2:$S$42,3,FALSE)*$N$14,0)+AF104*(1+i_noc)</f>
        <v>0</v>
      </c>
      <c r="AG105" s="33">
        <f>IFERROR(L105*$B105*VLOOKUP(n_mes_laguna,Parámetros!$Q$2:$S$42,3,FALSE)*$N$14,0)+AG104*(1+i_noc)</f>
        <v>0</v>
      </c>
      <c r="AI105" s="74">
        <f t="shared" si="30"/>
        <v>0</v>
      </c>
      <c r="AJ105" s="74">
        <f t="shared" si="31"/>
        <v>0</v>
      </c>
      <c r="AK105" s="267">
        <f t="shared" si="32"/>
        <v>0</v>
      </c>
      <c r="AL105" s="267">
        <f t="shared" si="33"/>
        <v>0</v>
      </c>
      <c r="AM105" s="39"/>
      <c r="AN105" s="30"/>
      <c r="AO105" s="30"/>
      <c r="AP105" s="30"/>
    </row>
    <row r="106" spans="1:42" x14ac:dyDescent="0.25">
      <c r="A106" s="30">
        <v>2071</v>
      </c>
      <c r="B106" s="33">
        <f>w_uf*UF*Parámetros!C93</f>
        <v>1541931.0356792898</v>
      </c>
      <c r="C106" s="30">
        <f t="shared" si="27"/>
        <v>92</v>
      </c>
      <c r="D106" s="30">
        <f>((A106=Inputs!$C$12)*(Inputs!$D$12) + (A106=Inputs!$C$13)*(Inputs!$D$13) + (A106=Inputs!$C$14)*(Inputs!$D$14)) *(A106 &gt;= a_afil)*(A106&gt;=2024)</f>
        <v>0</v>
      </c>
      <c r="E106" s="30">
        <f>MIN(1,(A106=Inputs!$C$19)*Inputs!$D$19+(A106=Inputs!$C$20)*Inputs!$D$20+(A106=Inputs!$C$21)*Inputs!$D$21*(A106 &gt;= a_afil))</f>
        <v>0</v>
      </c>
      <c r="F106" s="30">
        <f t="shared" si="28"/>
        <v>0</v>
      </c>
      <c r="G106" s="30">
        <f t="shared" si="29"/>
        <v>0</v>
      </c>
      <c r="H106" s="30">
        <v>0.32355481386184692</v>
      </c>
      <c r="I106" s="37">
        <f t="shared" si="36"/>
        <v>0</v>
      </c>
      <c r="J106" s="37">
        <f t="shared" si="37"/>
        <v>0</v>
      </c>
      <c r="K106" s="30">
        <f>1*OR(Inputs!$D$17=$A106,Inputs!$E$17=$A106)*($E106=0)*(F106=1)</f>
        <v>0</v>
      </c>
      <c r="L106" s="30">
        <f>1*OR(Inputs!$D$17=$A106,Inputs!$E$17=$A106)*($E106=0)*(G106=1)</f>
        <v>0</v>
      </c>
      <c r="M106" s="73"/>
      <c r="N106" s="55"/>
      <c r="O106" s="55"/>
      <c r="P106" s="55"/>
      <c r="Q106" s="68">
        <f>MIN($B106,VLOOKUP($A106,Parámetros!$A$2:$J$122,8,FALSE)*UF)*12*I106*$X$2</f>
        <v>0</v>
      </c>
      <c r="R106" s="68">
        <f>MIN($B106,VLOOKUP($A106,Parámetros!$A$2:$J$122,8,FALSE)*UF)*12*J106*$X$2</f>
        <v>0</v>
      </c>
      <c r="S106" s="55">
        <f>MIN($B106,VLOOKUP($A106,Parámetros!$A$2:$J$122,10,FALSE)*UF)*12*I106*$X$3</f>
        <v>0</v>
      </c>
      <c r="T106" s="55">
        <f>MIN($B106,VLOOKUP($A106,Parámetros!$A$2:$J$122,10,FALSE)*UF)*12*J106*$X$3</f>
        <v>0</v>
      </c>
      <c r="U106" s="38"/>
      <c r="V106" s="38"/>
      <c r="W106" s="38"/>
      <c r="X106" s="38"/>
      <c r="Y106" s="38"/>
      <c r="Z106" s="54">
        <f t="shared" si="34"/>
        <v>0</v>
      </c>
      <c r="AA106" s="54">
        <f t="shared" si="35"/>
        <v>0</v>
      </c>
      <c r="AB106" s="55">
        <f t="shared" si="38"/>
        <v>0</v>
      </c>
      <c r="AC106" s="55">
        <f t="shared" si="39"/>
        <v>0</v>
      </c>
      <c r="AD106" s="33">
        <f>D106*mmater*Parámetros!$G93*$W$14+AD105*(1+i_noc)</f>
        <v>0</v>
      </c>
      <c r="AE106" s="33">
        <f>E106*12*Parámetros!$F93*$W$14+AE105*(1+i_noc)</f>
        <v>0</v>
      </c>
      <c r="AF106" s="33">
        <f>IFERROR(K106*$B106*VLOOKUP(n_mes_laguna,Parámetros!$Q$2:$S$42,3,FALSE)*$N$14,0)+AF105*(1+i_noc)</f>
        <v>0</v>
      </c>
      <c r="AG106" s="33">
        <f>IFERROR(L106*$B106*VLOOKUP(n_mes_laguna,Parámetros!$Q$2:$S$42,3,FALSE)*$N$14,0)+AG105*(1+i_noc)</f>
        <v>0</v>
      </c>
      <c r="AI106" s="74">
        <f t="shared" si="30"/>
        <v>0</v>
      </c>
      <c r="AJ106" s="74">
        <f t="shared" si="31"/>
        <v>0</v>
      </c>
      <c r="AK106" s="267">
        <f t="shared" si="32"/>
        <v>0</v>
      </c>
      <c r="AL106" s="267">
        <f t="shared" si="33"/>
        <v>0</v>
      </c>
      <c r="AM106" s="39"/>
      <c r="AN106" s="30"/>
      <c r="AO106" s="30"/>
      <c r="AP106" s="30"/>
    </row>
    <row r="107" spans="1:42" x14ac:dyDescent="0.25">
      <c r="A107" s="30">
        <v>2072</v>
      </c>
      <c r="B107" s="33">
        <f>w_uf*UF*Parámetros!C94</f>
        <v>1561205.1736252808</v>
      </c>
      <c r="C107" s="30">
        <f t="shared" si="27"/>
        <v>93</v>
      </c>
      <c r="D107" s="30">
        <f>((A107=Inputs!$C$12)*(Inputs!$D$12) + (A107=Inputs!$C$13)*(Inputs!$D$13) + (A107=Inputs!$C$14)*(Inputs!$D$14)) *(A107 &gt;= a_afil)*(A107&gt;=2024)</f>
        <v>0</v>
      </c>
      <c r="E107" s="30">
        <f>MIN(1,(A107=Inputs!$C$19)*Inputs!$D$19+(A107=Inputs!$C$20)*Inputs!$D$20+(A107=Inputs!$C$21)*Inputs!$D$21*(A107 &gt;= a_afil))</f>
        <v>0</v>
      </c>
      <c r="F107" s="30">
        <f t="shared" si="28"/>
        <v>0</v>
      </c>
      <c r="G107" s="30">
        <f t="shared" si="29"/>
        <v>0</v>
      </c>
      <c r="H107" s="30">
        <v>0.77083277702331543</v>
      </c>
      <c r="I107" s="37">
        <f t="shared" si="36"/>
        <v>0</v>
      </c>
      <c r="J107" s="37">
        <f t="shared" si="37"/>
        <v>0</v>
      </c>
      <c r="K107" s="30">
        <f>1*OR(Inputs!$D$17=$A107,Inputs!$E$17=$A107)*($E107=0)*(F107=1)</f>
        <v>0</v>
      </c>
      <c r="L107" s="30">
        <f>1*OR(Inputs!$D$17=$A107,Inputs!$E$17=$A107)*($E107=0)*(G107=1)</f>
        <v>0</v>
      </c>
      <c r="M107" s="73"/>
      <c r="N107" s="55"/>
      <c r="O107" s="55"/>
      <c r="P107" s="55"/>
      <c r="Q107" s="68">
        <f>MIN($B107,VLOOKUP($A107,Parámetros!$A$2:$J$122,8,FALSE)*UF)*12*I107*$X$2</f>
        <v>0</v>
      </c>
      <c r="R107" s="68">
        <f>MIN($B107,VLOOKUP($A107,Parámetros!$A$2:$J$122,8,FALSE)*UF)*12*J107*$X$2</f>
        <v>0</v>
      </c>
      <c r="S107" s="55">
        <f>MIN($B107,VLOOKUP($A107,Parámetros!$A$2:$J$122,10,FALSE)*UF)*12*I107*$X$3</f>
        <v>0</v>
      </c>
      <c r="T107" s="55">
        <f>MIN($B107,VLOOKUP($A107,Parámetros!$A$2:$J$122,10,FALSE)*UF)*12*J107*$X$3</f>
        <v>0</v>
      </c>
      <c r="U107" s="38"/>
      <c r="V107" s="38"/>
      <c r="W107" s="38"/>
      <c r="X107" s="38"/>
      <c r="Y107" s="38"/>
      <c r="Z107" s="54">
        <f t="shared" si="34"/>
        <v>0</v>
      </c>
      <c r="AA107" s="54">
        <f t="shared" si="35"/>
        <v>0</v>
      </c>
      <c r="AB107" s="55">
        <f t="shared" si="38"/>
        <v>0</v>
      </c>
      <c r="AC107" s="55">
        <f t="shared" si="39"/>
        <v>0</v>
      </c>
      <c r="AD107" s="33">
        <f>D107*mmater*Parámetros!$G94*$W$14+AD106*(1+i_noc)</f>
        <v>0</v>
      </c>
      <c r="AE107" s="33">
        <f>E107*12*Parámetros!$F94*$W$14+AE106*(1+i_noc)</f>
        <v>0</v>
      </c>
      <c r="AF107" s="33">
        <f>IFERROR(K107*$B107*VLOOKUP(n_mes_laguna,Parámetros!$Q$2:$S$42,3,FALSE)*$N$14,0)+AF106*(1+i_noc)</f>
        <v>0</v>
      </c>
      <c r="AG107" s="33">
        <f>IFERROR(L107*$B107*VLOOKUP(n_mes_laguna,Parámetros!$Q$2:$S$42,3,FALSE)*$N$14,0)+AG106*(1+i_noc)</f>
        <v>0</v>
      </c>
      <c r="AI107" s="74">
        <f t="shared" si="30"/>
        <v>0</v>
      </c>
      <c r="AJ107" s="74">
        <f t="shared" si="31"/>
        <v>0</v>
      </c>
      <c r="AK107" s="267">
        <f t="shared" si="32"/>
        <v>0</v>
      </c>
      <c r="AL107" s="267">
        <f t="shared" si="33"/>
        <v>0</v>
      </c>
      <c r="AM107" s="39"/>
      <c r="AN107" s="30"/>
      <c r="AO107" s="30"/>
      <c r="AP107" s="30"/>
    </row>
    <row r="108" spans="1:42" x14ac:dyDescent="0.25">
      <c r="A108" s="30">
        <v>2073</v>
      </c>
      <c r="B108" s="33">
        <f>w_uf*UF*Parámetros!C95</f>
        <v>1580720.2382955968</v>
      </c>
      <c r="C108" s="30">
        <f t="shared" si="27"/>
        <v>94</v>
      </c>
      <c r="D108" s="30">
        <f>((A108=Inputs!$C$12)*(Inputs!$D$12) + (A108=Inputs!$C$13)*(Inputs!$D$13) + (A108=Inputs!$C$14)*(Inputs!$D$14)) *(A108 &gt;= a_afil)*(A108&gt;=2024)</f>
        <v>0</v>
      </c>
      <c r="E108" s="30">
        <f>MIN(1,(A108=Inputs!$C$19)*Inputs!$D$19+(A108=Inputs!$C$20)*Inputs!$D$20+(A108=Inputs!$C$21)*Inputs!$D$21*(A108 &gt;= a_afil))</f>
        <v>0</v>
      </c>
      <c r="F108" s="30">
        <f t="shared" si="28"/>
        <v>0</v>
      </c>
      <c r="G108" s="30">
        <f t="shared" si="29"/>
        <v>0</v>
      </c>
      <c r="H108" s="30">
        <v>0.21800035238265991</v>
      </c>
      <c r="I108" s="37">
        <f t="shared" si="36"/>
        <v>0</v>
      </c>
      <c r="J108" s="37">
        <f t="shared" si="37"/>
        <v>0</v>
      </c>
      <c r="K108" s="30">
        <f>1*OR(Inputs!$D$17=$A108,Inputs!$E$17=$A108)*($E108=0)*(F108=1)</f>
        <v>0</v>
      </c>
      <c r="L108" s="30">
        <f>1*OR(Inputs!$D$17=$A108,Inputs!$E$17=$A108)*($E108=0)*(G108=1)</f>
        <v>0</v>
      </c>
      <c r="M108" s="73"/>
      <c r="N108" s="55"/>
      <c r="O108" s="55"/>
      <c r="P108" s="55"/>
      <c r="Q108" s="68">
        <f>MIN($B108,VLOOKUP($A108,Parámetros!$A$2:$J$122,8,FALSE)*UF)*12*I108*$X$2</f>
        <v>0</v>
      </c>
      <c r="R108" s="68">
        <f>MIN($B108,VLOOKUP($A108,Parámetros!$A$2:$J$122,8,FALSE)*UF)*12*J108*$X$2</f>
        <v>0</v>
      </c>
      <c r="S108" s="55">
        <f>MIN($B108,VLOOKUP($A108,Parámetros!$A$2:$J$122,10,FALSE)*UF)*12*I108*$X$3</f>
        <v>0</v>
      </c>
      <c r="T108" s="55">
        <f>MIN($B108,VLOOKUP($A108,Parámetros!$A$2:$J$122,10,FALSE)*UF)*12*J108*$X$3</f>
        <v>0</v>
      </c>
      <c r="U108" s="38"/>
      <c r="V108" s="38"/>
      <c r="W108" s="38"/>
      <c r="X108" s="38"/>
      <c r="Y108" s="38"/>
      <c r="Z108" s="54">
        <f t="shared" si="34"/>
        <v>0</v>
      </c>
      <c r="AA108" s="54">
        <f t="shared" si="35"/>
        <v>0</v>
      </c>
      <c r="AB108" s="55">
        <f t="shared" si="38"/>
        <v>0</v>
      </c>
      <c r="AC108" s="55">
        <f t="shared" si="39"/>
        <v>0</v>
      </c>
      <c r="AD108" s="33">
        <f>D108*mmater*Parámetros!$G95*$W$14+AD107*(1+i_noc)</f>
        <v>0</v>
      </c>
      <c r="AE108" s="33">
        <f>E108*12*Parámetros!$F95*$W$14+AE107*(1+i_noc)</f>
        <v>0</v>
      </c>
      <c r="AF108" s="33">
        <f>IFERROR(K108*$B108*VLOOKUP(n_mes_laguna,Parámetros!$Q$2:$S$42,3,FALSE)*$N$14,0)+AF107*(1+i_noc)</f>
        <v>0</v>
      </c>
      <c r="AG108" s="33">
        <f>IFERROR(L108*$B108*VLOOKUP(n_mes_laguna,Parámetros!$Q$2:$S$42,3,FALSE)*$N$14,0)+AG107*(1+i_noc)</f>
        <v>0</v>
      </c>
      <c r="AI108" s="74">
        <f t="shared" si="30"/>
        <v>0</v>
      </c>
      <c r="AJ108" s="74">
        <f t="shared" si="31"/>
        <v>0</v>
      </c>
      <c r="AK108" s="267">
        <f t="shared" si="32"/>
        <v>0</v>
      </c>
      <c r="AL108" s="267">
        <f t="shared" si="33"/>
        <v>0</v>
      </c>
      <c r="AM108" s="39"/>
      <c r="AN108" s="30"/>
      <c r="AO108" s="30"/>
      <c r="AP108" s="30"/>
    </row>
    <row r="109" spans="1:42" x14ac:dyDescent="0.25">
      <c r="A109" s="30">
        <v>2074</v>
      </c>
      <c r="B109" s="33">
        <f>w_uf*UF*Parámetros!C96</f>
        <v>1600479.2412742916</v>
      </c>
      <c r="C109" s="30">
        <f t="shared" si="27"/>
        <v>95</v>
      </c>
      <c r="D109" s="30">
        <f>((A109=Inputs!$C$12)*(Inputs!$D$12) + (A109=Inputs!$C$13)*(Inputs!$D$13) + (A109=Inputs!$C$14)*(Inputs!$D$14)) *(A109 &gt;= a_afil)*(A109&gt;=2024)</f>
        <v>0</v>
      </c>
      <c r="E109" s="30">
        <f>MIN(1,(A109=Inputs!$C$19)*Inputs!$D$19+(A109=Inputs!$C$20)*Inputs!$D$20+(A109=Inputs!$C$21)*Inputs!$D$21*(A109 &gt;= a_afil))</f>
        <v>0</v>
      </c>
      <c r="F109" s="30">
        <f t="shared" si="28"/>
        <v>0</v>
      </c>
      <c r="G109" s="30">
        <f t="shared" si="29"/>
        <v>0</v>
      </c>
      <c r="H109" s="30">
        <v>0.44699323177337646</v>
      </c>
      <c r="I109" s="37">
        <f t="shared" si="36"/>
        <v>0</v>
      </c>
      <c r="J109" s="37">
        <f t="shared" si="37"/>
        <v>0</v>
      </c>
      <c r="K109" s="30">
        <f>1*OR(Inputs!$D$17=$A109,Inputs!$E$17=$A109)*($E109=0)*(F109=1)</f>
        <v>0</v>
      </c>
      <c r="L109" s="30">
        <f>1*OR(Inputs!$D$17=$A109,Inputs!$E$17=$A109)*($E109=0)*(G109=1)</f>
        <v>0</v>
      </c>
      <c r="M109" s="73"/>
      <c r="N109" s="55"/>
      <c r="O109" s="55"/>
      <c r="P109" s="55"/>
      <c r="Q109" s="68">
        <f>MIN($B109,VLOOKUP($A109,Parámetros!$A$2:$J$122,8,FALSE)*UF)*12*I109*$X$2</f>
        <v>0</v>
      </c>
      <c r="R109" s="68">
        <f>MIN($B109,VLOOKUP($A109,Parámetros!$A$2:$J$122,8,FALSE)*UF)*12*J109*$X$2</f>
        <v>0</v>
      </c>
      <c r="S109" s="55">
        <f>MIN($B109,VLOOKUP($A109,Parámetros!$A$2:$J$122,10,FALSE)*UF)*12*I109*$X$3</f>
        <v>0</v>
      </c>
      <c r="T109" s="55">
        <f>MIN($B109,VLOOKUP($A109,Parámetros!$A$2:$J$122,10,FALSE)*UF)*12*J109*$X$3</f>
        <v>0</v>
      </c>
      <c r="U109" s="38"/>
      <c r="V109" s="38"/>
      <c r="W109" s="38"/>
      <c r="X109" s="38"/>
      <c r="Y109" s="38"/>
      <c r="Z109" s="54">
        <f t="shared" si="34"/>
        <v>0</v>
      </c>
      <c r="AA109" s="54">
        <f t="shared" si="35"/>
        <v>0</v>
      </c>
      <c r="AB109" s="55">
        <f t="shared" si="38"/>
        <v>0</v>
      </c>
      <c r="AC109" s="55">
        <f t="shared" si="39"/>
        <v>0</v>
      </c>
      <c r="AD109" s="33">
        <f>D109*mmater*Parámetros!$G96*$W$14+AD108*(1+i_noc)</f>
        <v>0</v>
      </c>
      <c r="AE109" s="33">
        <f>E109*12*Parámetros!$F96*$W$14+AE108*(1+i_noc)</f>
        <v>0</v>
      </c>
      <c r="AF109" s="33">
        <f>IFERROR(K109*$B109*VLOOKUP(n_mes_laguna,Parámetros!$Q$2:$S$42,3,FALSE)*$N$14,0)+AF108*(1+i_noc)</f>
        <v>0</v>
      </c>
      <c r="AG109" s="33">
        <f>IFERROR(L109*$B109*VLOOKUP(n_mes_laguna,Parámetros!$Q$2:$S$42,3,FALSE)*$N$14,0)+AG108*(1+i_noc)</f>
        <v>0</v>
      </c>
      <c r="AI109" s="74">
        <f t="shared" si="30"/>
        <v>0</v>
      </c>
      <c r="AJ109" s="74">
        <f t="shared" si="31"/>
        <v>0</v>
      </c>
      <c r="AK109" s="267">
        <f t="shared" si="32"/>
        <v>0</v>
      </c>
      <c r="AL109" s="267">
        <f t="shared" si="33"/>
        <v>0</v>
      </c>
      <c r="AM109" s="39"/>
      <c r="AN109" s="30"/>
      <c r="AO109" s="30"/>
      <c r="AP109" s="30"/>
    </row>
    <row r="110" spans="1:42" x14ac:dyDescent="0.25">
      <c r="A110" s="30">
        <v>2075</v>
      </c>
      <c r="B110" s="33">
        <f>w_uf*UF*Parámetros!C97</f>
        <v>1620485.2317902204</v>
      </c>
      <c r="C110" s="30">
        <f t="shared" si="27"/>
        <v>96</v>
      </c>
      <c r="D110" s="30">
        <f>((A110=Inputs!$C$12)*(Inputs!$D$12) + (A110=Inputs!$C$13)*(Inputs!$D$13) + (A110=Inputs!$C$14)*(Inputs!$D$14)) *(A110 &gt;= a_afil)*(A110&gt;=2024)</f>
        <v>0</v>
      </c>
      <c r="E110" s="30">
        <f>MIN(1,(A110=Inputs!$C$19)*Inputs!$D$19+(A110=Inputs!$C$20)*Inputs!$D$20+(A110=Inputs!$C$21)*Inputs!$D$21*(A110 &gt;= a_afil))</f>
        <v>0</v>
      </c>
      <c r="F110" s="30">
        <f t="shared" si="28"/>
        <v>0</v>
      </c>
      <c r="G110" s="30">
        <f t="shared" si="29"/>
        <v>0</v>
      </c>
      <c r="H110" s="30">
        <v>0.23602777719497681</v>
      </c>
      <c r="I110" s="37">
        <f t="shared" si="36"/>
        <v>0</v>
      </c>
      <c r="J110" s="37">
        <f t="shared" si="37"/>
        <v>0</v>
      </c>
      <c r="K110" s="30">
        <f>1*OR(Inputs!$D$17=$A110,Inputs!$E$17=$A110)*($E110=0)*(F110=1)</f>
        <v>0</v>
      </c>
      <c r="L110" s="30">
        <f>1*OR(Inputs!$D$17=$A110,Inputs!$E$17=$A110)*($E110=0)*(G110=1)</f>
        <v>0</v>
      </c>
      <c r="M110" s="73"/>
      <c r="N110" s="55"/>
      <c r="O110" s="55"/>
      <c r="P110" s="55"/>
      <c r="Q110" s="68">
        <f>MIN($B110,VLOOKUP($A110,Parámetros!$A$2:$J$122,8,FALSE)*UF)*12*I110*$X$2</f>
        <v>0</v>
      </c>
      <c r="R110" s="68">
        <f>MIN($B110,VLOOKUP($A110,Parámetros!$A$2:$J$122,8,FALSE)*UF)*12*J110*$X$2</f>
        <v>0</v>
      </c>
      <c r="S110" s="55">
        <f>MIN($B110,VLOOKUP($A110,Parámetros!$A$2:$J$122,10,FALSE)*UF)*12*I110*$X$3</f>
        <v>0</v>
      </c>
      <c r="T110" s="55">
        <f>MIN($B110,VLOOKUP($A110,Parámetros!$A$2:$J$122,10,FALSE)*UF)*12*J110*$X$3</f>
        <v>0</v>
      </c>
      <c r="U110" s="38"/>
      <c r="V110" s="38"/>
      <c r="W110" s="38"/>
      <c r="X110" s="38"/>
      <c r="Y110" s="38"/>
      <c r="Z110" s="54">
        <f t="shared" si="34"/>
        <v>0</v>
      </c>
      <c r="AA110" s="54">
        <f t="shared" si="35"/>
        <v>0</v>
      </c>
      <c r="AB110" s="55">
        <f t="shared" si="38"/>
        <v>0</v>
      </c>
      <c r="AC110" s="55">
        <f t="shared" si="39"/>
        <v>0</v>
      </c>
      <c r="AD110" s="33">
        <f>D110*mmater*Parámetros!$G97*$W$14+AD109*(1+i_noc)</f>
        <v>0</v>
      </c>
      <c r="AE110" s="33">
        <f>E110*12*Parámetros!$F97*$W$14+AE109*(1+i_noc)</f>
        <v>0</v>
      </c>
      <c r="AF110" s="33">
        <f>IFERROR(K110*$B110*VLOOKUP(n_mes_laguna,Parámetros!$Q$2:$S$42,3,FALSE)*$N$14,0)+AF109*(1+i_noc)</f>
        <v>0</v>
      </c>
      <c r="AG110" s="33">
        <f>IFERROR(L110*$B110*VLOOKUP(n_mes_laguna,Parámetros!$Q$2:$S$42,3,FALSE)*$N$14,0)+AG109*(1+i_noc)</f>
        <v>0</v>
      </c>
      <c r="AI110" s="74">
        <f t="shared" si="30"/>
        <v>0</v>
      </c>
      <c r="AJ110" s="74">
        <f t="shared" si="31"/>
        <v>0</v>
      </c>
      <c r="AK110" s="267">
        <f t="shared" si="32"/>
        <v>0</v>
      </c>
      <c r="AL110" s="267">
        <f t="shared" si="33"/>
        <v>0</v>
      </c>
      <c r="AM110" s="39"/>
      <c r="AN110" s="30"/>
      <c r="AO110" s="30"/>
      <c r="AP110" s="30"/>
    </row>
    <row r="111" spans="1:42" x14ac:dyDescent="0.25">
      <c r="A111" s="30">
        <v>2076</v>
      </c>
      <c r="B111" s="33">
        <f>w_uf*UF*Parámetros!C98</f>
        <v>1640741.297187598</v>
      </c>
      <c r="C111" s="30">
        <f t="shared" si="27"/>
        <v>97</v>
      </c>
      <c r="D111" s="30">
        <f>((A111=Inputs!$C$12)*(Inputs!$D$12) + (A111=Inputs!$C$13)*(Inputs!$D$13) + (A111=Inputs!$C$14)*(Inputs!$D$14)) *(A111 &gt;= a_afil)*(A111&gt;=2024)</f>
        <v>0</v>
      </c>
      <c r="E111" s="30">
        <f>MIN(1,(A111=Inputs!$C$19)*Inputs!$D$19+(A111=Inputs!$C$20)*Inputs!$D$20+(A111=Inputs!$C$21)*Inputs!$D$21*(A111 &gt;= a_afil))</f>
        <v>0</v>
      </c>
      <c r="F111" s="30">
        <f t="shared" si="28"/>
        <v>0</v>
      </c>
      <c r="G111" s="30">
        <f t="shared" si="29"/>
        <v>0</v>
      </c>
      <c r="H111" s="30">
        <v>0.87838459014892578</v>
      </c>
      <c r="I111" s="37">
        <f t="shared" si="36"/>
        <v>0</v>
      </c>
      <c r="J111" s="37">
        <f t="shared" si="37"/>
        <v>0</v>
      </c>
      <c r="K111" s="30">
        <f>1*OR(Inputs!$D$17=$A111,Inputs!$E$17=$A111)*($E111=0)*(F111=1)</f>
        <v>0</v>
      </c>
      <c r="L111" s="30">
        <f>1*OR(Inputs!$D$17=$A111,Inputs!$E$17=$A111)*($E111=0)*(G111=1)</f>
        <v>0</v>
      </c>
      <c r="M111" s="73"/>
      <c r="N111" s="55"/>
      <c r="O111" s="55"/>
      <c r="P111" s="55"/>
      <c r="Q111" s="68">
        <f>MIN($B111,VLOOKUP($A111,Parámetros!$A$2:$J$122,8,FALSE)*UF)*12*I111*$X$2</f>
        <v>0</v>
      </c>
      <c r="R111" s="68">
        <f>MIN($B111,VLOOKUP($A111,Parámetros!$A$2:$J$122,8,FALSE)*UF)*12*J111*$X$2</f>
        <v>0</v>
      </c>
      <c r="S111" s="55">
        <f>MIN($B111,VLOOKUP($A111,Parámetros!$A$2:$J$122,10,FALSE)*UF)*12*I111*$X$3</f>
        <v>0</v>
      </c>
      <c r="T111" s="55">
        <f>MIN($B111,VLOOKUP($A111,Parámetros!$A$2:$J$122,10,FALSE)*UF)*12*J111*$X$3</f>
        <v>0</v>
      </c>
      <c r="U111" s="38"/>
      <c r="V111" s="38"/>
      <c r="W111" s="38"/>
      <c r="X111" s="38"/>
      <c r="Y111" s="38"/>
      <c r="Z111" s="54">
        <f t="shared" si="34"/>
        <v>0</v>
      </c>
      <c r="AA111" s="54">
        <f t="shared" si="35"/>
        <v>0</v>
      </c>
      <c r="AB111" s="55">
        <f t="shared" si="38"/>
        <v>0</v>
      </c>
      <c r="AC111" s="55">
        <f t="shared" si="39"/>
        <v>0</v>
      </c>
      <c r="AD111" s="33">
        <f>D111*mmater*Parámetros!$G98*$W$14+AD110*(1+i_noc)</f>
        <v>0</v>
      </c>
      <c r="AE111" s="33">
        <f>E111*12*Parámetros!$F98*$W$14+AE110*(1+i_noc)</f>
        <v>0</v>
      </c>
      <c r="AF111" s="33">
        <f>IFERROR(K111*$B111*VLOOKUP(n_mes_laguna,Parámetros!$Q$2:$S$42,3,FALSE)*$N$14,0)+AF110*(1+i_noc)</f>
        <v>0</v>
      </c>
      <c r="AG111" s="33">
        <f>IFERROR(L111*$B111*VLOOKUP(n_mes_laguna,Parámetros!$Q$2:$S$42,3,FALSE)*$N$14,0)+AG110*(1+i_noc)</f>
        <v>0</v>
      </c>
      <c r="AI111" s="74">
        <f t="shared" si="30"/>
        <v>0</v>
      </c>
      <c r="AJ111" s="74">
        <f t="shared" si="31"/>
        <v>0</v>
      </c>
      <c r="AK111" s="267">
        <f t="shared" si="32"/>
        <v>0</v>
      </c>
      <c r="AL111" s="267">
        <f t="shared" si="33"/>
        <v>0</v>
      </c>
      <c r="AM111" s="39"/>
      <c r="AN111" s="30"/>
      <c r="AO111" s="30"/>
      <c r="AP111" s="30"/>
    </row>
    <row r="112" spans="1:42" x14ac:dyDescent="0.25">
      <c r="A112" s="30">
        <v>2077</v>
      </c>
      <c r="B112" s="33">
        <f>w_uf*UF*Parámetros!C99</f>
        <v>1661250.563402443</v>
      </c>
      <c r="C112" s="30">
        <f t="shared" ref="C112:C135" si="40">IF(AND(A112-a_nac&lt;=110,A112-a_nac&gt;0),A112-a_nac,"")</f>
        <v>98</v>
      </c>
      <c r="D112" s="30">
        <f>((A112=Inputs!$C$12)*(Inputs!$D$12) + (A112=Inputs!$C$13)*(Inputs!$D$13) + (A112=Inputs!$C$14)*(Inputs!$D$14)) *(A112 &gt;= a_afil)*(A112&gt;=2024)</f>
        <v>0</v>
      </c>
      <c r="E112" s="30">
        <f>MIN(1,(A112=Inputs!$C$19)*Inputs!$D$19+(A112=Inputs!$C$20)*Inputs!$D$20+(A112=Inputs!$C$21)*Inputs!$D$21*(A112 &gt;= a_afil))</f>
        <v>0</v>
      </c>
      <c r="F112" s="30">
        <f t="shared" ref="F112:F134" si="41" xml:space="preserve"> (C112&lt;edad_ret_h) * (A112&gt;=a_afil)</f>
        <v>0</v>
      </c>
      <c r="G112" s="30">
        <f t="shared" ref="G112:G134" si="42" xml:space="preserve"> (C112&lt;edad_ret_m) * (A112&gt;=a_afil)</f>
        <v>0</v>
      </c>
      <c r="H112" s="30">
        <v>0.61043280363082886</v>
      </c>
      <c r="I112" s="37">
        <f t="shared" si="36"/>
        <v>0</v>
      </c>
      <c r="J112" s="37">
        <f t="shared" si="37"/>
        <v>0</v>
      </c>
      <c r="K112" s="30">
        <f>1*OR(Inputs!$D$17=$A112,Inputs!$E$17=$A112)*($E112=0)*(F112=1)</f>
        <v>0</v>
      </c>
      <c r="L112" s="30">
        <f>1*OR(Inputs!$D$17=$A112,Inputs!$E$17=$A112)*($E112=0)*(G112=1)</f>
        <v>0</v>
      </c>
      <c r="M112" s="73"/>
      <c r="N112" s="55"/>
      <c r="O112" s="55"/>
      <c r="P112" s="55"/>
      <c r="Q112" s="68">
        <f>MIN($B112,VLOOKUP($A112,Parámetros!$A$2:$J$122,8,FALSE)*UF)*12*I112*$X$2</f>
        <v>0</v>
      </c>
      <c r="R112" s="68">
        <f>MIN($B112,VLOOKUP($A112,Parámetros!$A$2:$J$122,8,FALSE)*UF)*12*J112*$X$2</f>
        <v>0</v>
      </c>
      <c r="S112" s="55">
        <f>MIN($B112,VLOOKUP($A112,Parámetros!$A$2:$J$122,10,FALSE)*UF)*12*I112*$X$3</f>
        <v>0</v>
      </c>
      <c r="T112" s="55">
        <f>MIN($B112,VLOOKUP($A112,Parámetros!$A$2:$J$122,10,FALSE)*UF)*12*J112*$X$3</f>
        <v>0</v>
      </c>
      <c r="U112" s="38"/>
      <c r="V112" s="38"/>
      <c r="W112" s="38"/>
      <c r="X112" s="38"/>
      <c r="Y112" s="38"/>
      <c r="Z112" s="54">
        <f t="shared" si="34"/>
        <v>0</v>
      </c>
      <c r="AA112" s="54">
        <f t="shared" si="35"/>
        <v>0</v>
      </c>
      <c r="AB112" s="55">
        <f t="shared" si="38"/>
        <v>0</v>
      </c>
      <c r="AC112" s="55">
        <f t="shared" si="39"/>
        <v>0</v>
      </c>
      <c r="AD112" s="33">
        <f>D112*mmater*Parámetros!$G99*$W$14+AD111*(1+i_noc)</f>
        <v>0</v>
      </c>
      <c r="AE112" s="33">
        <f>E112*12*Parámetros!$F99*$W$14+AE111*(1+i_noc)</f>
        <v>0</v>
      </c>
      <c r="AF112" s="33">
        <f>IFERROR(K112*$B112*VLOOKUP(n_mes_laguna,Parámetros!$Q$2:$S$42,3,FALSE)*$N$14,0)+AF111*(1+i_noc)</f>
        <v>0</v>
      </c>
      <c r="AG112" s="33">
        <f>IFERROR(L112*$B112*VLOOKUP(n_mes_laguna,Parámetros!$Q$2:$S$42,3,FALSE)*$N$14,0)+AG111*(1+i_noc)</f>
        <v>0</v>
      </c>
      <c r="AI112" s="74">
        <f t="shared" ref="AI112:AI135" si="43">($A112=D$9)*Z112/(12*_xlfn.XLOOKUP(AI$15,sexo_cnu,cnu))</f>
        <v>0</v>
      </c>
      <c r="AJ112" s="74">
        <f t="shared" ref="AJ112:AJ135" si="44">($A112=E$9)*AA112/(12*_xlfn.XLOOKUP(AJ$15,sexo_cnu,cnu))</f>
        <v>0</v>
      </c>
      <c r="AK112" s="267">
        <f t="shared" ref="AK112:AK135" si="45">($A112=D$9)*AB112/(12*_xlfn.XLOOKUP(AK$15,sexo_cnu,cnu))</f>
        <v>0</v>
      </c>
      <c r="AL112" s="267">
        <f t="shared" ref="AL112:AL135" si="46">($A112=E$9)*AC112/(12*_xlfn.XLOOKUP(AL$15,sexo_cnu,cnu))</f>
        <v>0</v>
      </c>
      <c r="AM112" s="39"/>
      <c r="AN112" s="30"/>
      <c r="AO112" s="30"/>
      <c r="AP112" s="30"/>
    </row>
    <row r="113" spans="1:42" x14ac:dyDescent="0.25">
      <c r="A113" s="30">
        <v>2078</v>
      </c>
      <c r="B113" s="33">
        <f>w_uf*UF*Parámetros!C100</f>
        <v>1682016.1954449732</v>
      </c>
      <c r="C113" s="30">
        <f t="shared" si="40"/>
        <v>99</v>
      </c>
      <c r="D113" s="30">
        <f>((A113=Inputs!$C$12)*(Inputs!$D$12) + (A113=Inputs!$C$13)*(Inputs!$D$13) + (A113=Inputs!$C$14)*(Inputs!$D$14)) *(A113 &gt;= a_afil)*(A113&gt;=2024)</f>
        <v>0</v>
      </c>
      <c r="E113" s="30">
        <f>MIN(1,(A113=Inputs!$C$19)*Inputs!$D$19+(A113=Inputs!$C$20)*Inputs!$D$20+(A113=Inputs!$C$21)*Inputs!$D$21*(A113 &gt;= a_afil))</f>
        <v>0</v>
      </c>
      <c r="F113" s="30">
        <f t="shared" si="41"/>
        <v>0</v>
      </c>
      <c r="G113" s="30">
        <f t="shared" si="42"/>
        <v>0</v>
      </c>
      <c r="H113" s="30">
        <v>0.37443220615386963</v>
      </c>
      <c r="I113" s="37">
        <f t="shared" si="36"/>
        <v>0</v>
      </c>
      <c r="J113" s="37">
        <f t="shared" si="37"/>
        <v>0</v>
      </c>
      <c r="K113" s="30">
        <f>1*OR(Inputs!$D$17=$A113,Inputs!$E$17=$A113)*($E113=0)*(F113=1)</f>
        <v>0</v>
      </c>
      <c r="L113" s="30">
        <f>1*OR(Inputs!$D$17=$A113,Inputs!$E$17=$A113)*($E113=0)*(G113=1)</f>
        <v>0</v>
      </c>
      <c r="M113" s="73"/>
      <c r="N113" s="55"/>
      <c r="O113" s="55"/>
      <c r="P113" s="55"/>
      <c r="Q113" s="68">
        <f>MIN($B113,VLOOKUP($A113,Parámetros!$A$2:$J$122,8,FALSE)*UF)*12*I113*$X$2</f>
        <v>0</v>
      </c>
      <c r="R113" s="68">
        <f>MIN($B113,VLOOKUP($A113,Parámetros!$A$2:$J$122,8,FALSE)*UF)*12*J113*$X$2</f>
        <v>0</v>
      </c>
      <c r="S113" s="55">
        <f>MIN($B113,VLOOKUP($A113,Parámetros!$A$2:$J$122,10,FALSE)*UF)*12*I113*$X$3</f>
        <v>0</v>
      </c>
      <c r="T113" s="55">
        <f>MIN($B113,VLOOKUP($A113,Parámetros!$A$2:$J$122,10,FALSE)*UF)*12*J113*$X$3</f>
        <v>0</v>
      </c>
      <c r="U113" s="38"/>
      <c r="V113" s="38"/>
      <c r="W113" s="38"/>
      <c r="X113" s="38"/>
      <c r="Y113" s="38"/>
      <c r="Z113" s="54">
        <f t="shared" ref="Z113:Z135" si="47">F112*Z112*(1+_xlfn.XLOOKUP(MIN(2024,$A112),agnos_rent,rent_base))+Q113</f>
        <v>0</v>
      </c>
      <c r="AA113" s="54">
        <f t="shared" ref="AA113:AA135" si="48">G112*AA112*(1+_xlfn.XLOOKUP(MIN(2024,$A112),agnos_rent,rent_base))+R113</f>
        <v>0</v>
      </c>
      <c r="AB113" s="55">
        <f t="shared" si="38"/>
        <v>0</v>
      </c>
      <c r="AC113" s="55">
        <f t="shared" si="39"/>
        <v>0</v>
      </c>
      <c r="AD113" s="33">
        <f>D113*mmater*Parámetros!$G100*$W$14+AD112*(1+i_noc)</f>
        <v>0</v>
      </c>
      <c r="AE113" s="33">
        <f>E113*12*Parámetros!$F100*$W$14+AE112*(1+i_noc)</f>
        <v>0</v>
      </c>
      <c r="AF113" s="33">
        <f>IFERROR(K113*$B113*VLOOKUP(n_mes_laguna,Parámetros!$Q$2:$S$42,3,FALSE)*$N$14,0)+AF112*(1+i_noc)</f>
        <v>0</v>
      </c>
      <c r="AG113" s="33">
        <f>IFERROR(L113*$B113*VLOOKUP(n_mes_laguna,Parámetros!$Q$2:$S$42,3,FALSE)*$N$14,0)+AG112*(1+i_noc)</f>
        <v>0</v>
      </c>
      <c r="AI113" s="74">
        <f t="shared" si="43"/>
        <v>0</v>
      </c>
      <c r="AJ113" s="74">
        <f t="shared" si="44"/>
        <v>0</v>
      </c>
      <c r="AK113" s="267">
        <f t="shared" si="45"/>
        <v>0</v>
      </c>
      <c r="AL113" s="267">
        <f t="shared" si="46"/>
        <v>0</v>
      </c>
      <c r="AM113" s="39"/>
      <c r="AN113" s="30"/>
      <c r="AO113" s="30"/>
      <c r="AP113" s="30"/>
    </row>
    <row r="114" spans="1:42" x14ac:dyDescent="0.25">
      <c r="A114" s="30">
        <v>2079</v>
      </c>
      <c r="B114" s="33">
        <f>w_uf*UF*Parámetros!C101</f>
        <v>1703041.3978880353</v>
      </c>
      <c r="C114" s="30">
        <f t="shared" si="40"/>
        <v>100</v>
      </c>
      <c r="D114" s="30">
        <f>((A114=Inputs!$C$12)*(Inputs!$D$12) + (A114=Inputs!$C$13)*(Inputs!$D$13) + (A114=Inputs!$C$14)*(Inputs!$D$14)) *(A114 &gt;= a_afil)*(A114&gt;=2024)</f>
        <v>0</v>
      </c>
      <c r="E114" s="30">
        <f>MIN(1,(A114=Inputs!$C$19)*Inputs!$D$19+(A114=Inputs!$C$20)*Inputs!$D$20+(A114=Inputs!$C$21)*Inputs!$D$21*(A114 &gt;= a_afil))</f>
        <v>0</v>
      </c>
      <c r="F114" s="30">
        <f t="shared" si="41"/>
        <v>0</v>
      </c>
      <c r="G114" s="30">
        <f t="shared" si="42"/>
        <v>0</v>
      </c>
      <c r="H114" s="30">
        <v>0.38950186967849731</v>
      </c>
      <c r="I114" s="37">
        <f t="shared" si="36"/>
        <v>0</v>
      </c>
      <c r="J114" s="37">
        <f t="shared" si="37"/>
        <v>0</v>
      </c>
      <c r="K114" s="30">
        <f>1*OR(Inputs!$D$17=$A114,Inputs!$E$17=$A114)*($E114=0)*(F114=1)</f>
        <v>0</v>
      </c>
      <c r="L114" s="30">
        <f>1*OR(Inputs!$D$17=$A114,Inputs!$E$17=$A114)*($E114=0)*(G114=1)</f>
        <v>0</v>
      </c>
      <c r="M114" s="73"/>
      <c r="N114" s="55"/>
      <c r="O114" s="55"/>
      <c r="P114" s="55"/>
      <c r="Q114" s="68">
        <f>MIN($B114,VLOOKUP($A114,Parámetros!$A$2:$J$122,8,FALSE)*UF)*12*I114*$X$2</f>
        <v>0</v>
      </c>
      <c r="R114" s="68">
        <f>MIN($B114,VLOOKUP($A114,Parámetros!$A$2:$J$122,8,FALSE)*UF)*12*J114*$X$2</f>
        <v>0</v>
      </c>
      <c r="S114" s="55">
        <f>MIN($B114,VLOOKUP($A114,Parámetros!$A$2:$J$122,10,FALSE)*UF)*12*I114*$X$3</f>
        <v>0</v>
      </c>
      <c r="T114" s="55">
        <f>MIN($B114,VLOOKUP($A114,Parámetros!$A$2:$J$122,10,FALSE)*UF)*12*J114*$X$3</f>
        <v>0</v>
      </c>
      <c r="U114" s="38"/>
      <c r="V114" s="38"/>
      <c r="W114" s="38"/>
      <c r="X114" s="38"/>
      <c r="Y114" s="38"/>
      <c r="Z114" s="54">
        <f t="shared" si="47"/>
        <v>0</v>
      </c>
      <c r="AA114" s="54">
        <f t="shared" si="48"/>
        <v>0</v>
      </c>
      <c r="AB114" s="55">
        <f t="shared" si="38"/>
        <v>0</v>
      </c>
      <c r="AC114" s="55">
        <f t="shared" si="39"/>
        <v>0</v>
      </c>
      <c r="AD114" s="33">
        <f>D114*mmater*Parámetros!$G101*$W$14+AD113*(1+i_noc)</f>
        <v>0</v>
      </c>
      <c r="AE114" s="33">
        <f>E114*12*Parámetros!$F101*$W$14+AE113*(1+i_noc)</f>
        <v>0</v>
      </c>
      <c r="AF114" s="33">
        <f>IFERROR(K114*$B114*VLOOKUP(n_mes_laguna,Parámetros!$Q$2:$S$42,3,FALSE)*$N$14,0)+AF113*(1+i_noc)</f>
        <v>0</v>
      </c>
      <c r="AG114" s="33">
        <f>IFERROR(L114*$B114*VLOOKUP(n_mes_laguna,Parámetros!$Q$2:$S$42,3,FALSE)*$N$14,0)+AG113*(1+i_noc)</f>
        <v>0</v>
      </c>
      <c r="AI114" s="74">
        <f t="shared" si="43"/>
        <v>0</v>
      </c>
      <c r="AJ114" s="74">
        <f t="shared" si="44"/>
        <v>0</v>
      </c>
      <c r="AK114" s="267">
        <f t="shared" si="45"/>
        <v>0</v>
      </c>
      <c r="AL114" s="267">
        <f t="shared" si="46"/>
        <v>0</v>
      </c>
      <c r="AM114" s="39"/>
      <c r="AN114" s="30"/>
      <c r="AO114" s="30"/>
      <c r="AP114" s="30"/>
    </row>
    <row r="115" spans="1:42" x14ac:dyDescent="0.25">
      <c r="A115" s="30">
        <v>2080</v>
      </c>
      <c r="B115" s="33">
        <f>w_uf*UF*Parámetros!C102</f>
        <v>1724329.4153616359</v>
      </c>
      <c r="C115" s="30">
        <f t="shared" si="40"/>
        <v>101</v>
      </c>
      <c r="D115" s="30">
        <f>((A115=Inputs!$C$12)*(Inputs!$D$12) + (A115=Inputs!$C$13)*(Inputs!$D$13) + (A115=Inputs!$C$14)*(Inputs!$D$14)) *(A115 &gt;= a_afil)*(A115&gt;=2024)</f>
        <v>0</v>
      </c>
      <c r="E115" s="30">
        <f>MIN(1,(A115=Inputs!$C$19)*Inputs!$D$19+(A115=Inputs!$C$20)*Inputs!$D$20+(A115=Inputs!$C$21)*Inputs!$D$21*(A115 &gt;= a_afil))</f>
        <v>0</v>
      </c>
      <c r="F115" s="30">
        <f t="shared" si="41"/>
        <v>0</v>
      </c>
      <c r="G115" s="30">
        <f t="shared" si="42"/>
        <v>0</v>
      </c>
      <c r="H115" s="30">
        <v>0.86058926582336426</v>
      </c>
      <c r="I115" s="37">
        <f t="shared" si="36"/>
        <v>0</v>
      </c>
      <c r="J115" s="37">
        <f t="shared" si="37"/>
        <v>0</v>
      </c>
      <c r="K115" s="30">
        <f>1*OR(Inputs!$D$17=$A115,Inputs!$E$17=$A115)*($E115=0)*(F115=1)</f>
        <v>0</v>
      </c>
      <c r="L115" s="30">
        <f>1*OR(Inputs!$D$17=$A115,Inputs!$E$17=$A115)*($E115=0)*(G115=1)</f>
        <v>0</v>
      </c>
      <c r="M115" s="73"/>
      <c r="N115" s="55"/>
      <c r="O115" s="55"/>
      <c r="P115" s="55"/>
      <c r="Q115" s="68">
        <f>MIN($B115,VLOOKUP($A115,Parámetros!$A$2:$J$122,8,FALSE)*UF)*12*I115*$X$2</f>
        <v>0</v>
      </c>
      <c r="R115" s="68">
        <f>MIN($B115,VLOOKUP($A115,Parámetros!$A$2:$J$122,8,FALSE)*UF)*12*J115*$X$2</f>
        <v>0</v>
      </c>
      <c r="S115" s="55">
        <f>MIN($B115,VLOOKUP($A115,Parámetros!$A$2:$J$122,10,FALSE)*UF)*12*I115*$X$3</f>
        <v>0</v>
      </c>
      <c r="T115" s="55">
        <f>MIN($B115,VLOOKUP($A115,Parámetros!$A$2:$J$122,10,FALSE)*UF)*12*J115*$X$3</f>
        <v>0</v>
      </c>
      <c r="U115" s="38"/>
      <c r="V115" s="38"/>
      <c r="W115" s="38"/>
      <c r="X115" s="38"/>
      <c r="Y115" s="38"/>
      <c r="Z115" s="54">
        <f t="shared" si="47"/>
        <v>0</v>
      </c>
      <c r="AA115" s="54">
        <f t="shared" si="48"/>
        <v>0</v>
      </c>
      <c r="AB115" s="55">
        <f t="shared" si="38"/>
        <v>0</v>
      </c>
      <c r="AC115" s="55">
        <f t="shared" si="39"/>
        <v>0</v>
      </c>
      <c r="AD115" s="33">
        <f>D115*mmater*Parámetros!$G102*$W$14+AD114*(1+i_noc)</f>
        <v>0</v>
      </c>
      <c r="AE115" s="33">
        <f>E115*12*Parámetros!$F102*$W$14+AE114*(1+i_noc)</f>
        <v>0</v>
      </c>
      <c r="AF115" s="33">
        <f>IFERROR(K115*$B115*VLOOKUP(n_mes_laguna,Parámetros!$Q$2:$S$42,3,FALSE)*$N$14,0)+AF114*(1+i_noc)</f>
        <v>0</v>
      </c>
      <c r="AG115" s="33">
        <f>IFERROR(L115*$B115*VLOOKUP(n_mes_laguna,Parámetros!$Q$2:$S$42,3,FALSE)*$N$14,0)+AG114*(1+i_noc)</f>
        <v>0</v>
      </c>
      <c r="AI115" s="74">
        <f t="shared" si="43"/>
        <v>0</v>
      </c>
      <c r="AJ115" s="74">
        <f t="shared" si="44"/>
        <v>0</v>
      </c>
      <c r="AK115" s="267">
        <f t="shared" si="45"/>
        <v>0</v>
      </c>
      <c r="AL115" s="267">
        <f t="shared" si="46"/>
        <v>0</v>
      </c>
      <c r="AM115" s="39"/>
      <c r="AN115" s="30"/>
      <c r="AO115" s="30"/>
      <c r="AP115" s="30"/>
    </row>
    <row r="116" spans="1:42" x14ac:dyDescent="0.25">
      <c r="A116" s="30">
        <v>2081</v>
      </c>
      <c r="B116" s="33">
        <f>w_uf*UF*Parámetros!C103</f>
        <v>1745883.5330536563</v>
      </c>
      <c r="C116" s="30">
        <f t="shared" si="40"/>
        <v>102</v>
      </c>
      <c r="D116" s="30">
        <f>((A116=Inputs!$C$12)*(Inputs!$D$12) + (A116=Inputs!$C$13)*(Inputs!$D$13) + (A116=Inputs!$C$14)*(Inputs!$D$14)) *(A116 &gt;= a_afil)*(A116&gt;=2024)</f>
        <v>0</v>
      </c>
      <c r="E116" s="30">
        <f>MIN(1,(A116=Inputs!$C$19)*Inputs!$D$19+(A116=Inputs!$C$20)*Inputs!$D$20+(A116=Inputs!$C$21)*Inputs!$D$21*(A116 &gt;= a_afil))</f>
        <v>0</v>
      </c>
      <c r="F116" s="30">
        <f t="shared" si="41"/>
        <v>0</v>
      </c>
      <c r="G116" s="30">
        <f t="shared" si="42"/>
        <v>0</v>
      </c>
      <c r="H116" s="30">
        <v>0.58593791723251343</v>
      </c>
      <c r="I116" s="37">
        <f t="shared" si="36"/>
        <v>0</v>
      </c>
      <c r="J116" s="37">
        <f t="shared" si="37"/>
        <v>0</v>
      </c>
      <c r="K116" s="30">
        <f>1*OR(Inputs!$D$17=$A116,Inputs!$E$17=$A116)*($E116=0)*(F116=1)</f>
        <v>0</v>
      </c>
      <c r="L116" s="30">
        <f>1*OR(Inputs!$D$17=$A116,Inputs!$E$17=$A116)*($E116=0)*(G116=1)</f>
        <v>0</v>
      </c>
      <c r="M116" s="73"/>
      <c r="N116" s="55"/>
      <c r="O116" s="55"/>
      <c r="P116" s="55"/>
      <c r="Q116" s="68">
        <f>MIN($B116,VLOOKUP($A116,Parámetros!$A$2:$J$122,8,FALSE)*UF)*12*I116*$X$2</f>
        <v>0</v>
      </c>
      <c r="R116" s="68">
        <f>MIN($B116,VLOOKUP($A116,Parámetros!$A$2:$J$122,8,FALSE)*UF)*12*J116*$X$2</f>
        <v>0</v>
      </c>
      <c r="S116" s="55">
        <f>MIN($B116,VLOOKUP($A116,Parámetros!$A$2:$J$122,10,FALSE)*UF)*12*I116*$X$3</f>
        <v>0</v>
      </c>
      <c r="T116" s="55">
        <f>MIN($B116,VLOOKUP($A116,Parámetros!$A$2:$J$122,10,FALSE)*UF)*12*J116*$X$3</f>
        <v>0</v>
      </c>
      <c r="U116" s="38"/>
      <c r="V116" s="38"/>
      <c r="W116" s="38"/>
      <c r="X116" s="38"/>
      <c r="Y116" s="38"/>
      <c r="Z116" s="54">
        <f t="shared" si="47"/>
        <v>0</v>
      </c>
      <c r="AA116" s="54">
        <f t="shared" si="48"/>
        <v>0</v>
      </c>
      <c r="AB116" s="55">
        <f t="shared" si="38"/>
        <v>0</v>
      </c>
      <c r="AC116" s="55">
        <f t="shared" si="39"/>
        <v>0</v>
      </c>
      <c r="AD116" s="33">
        <f>D116*mmater*Parámetros!$G103*$W$14+AD115*(1+i_noc)</f>
        <v>0</v>
      </c>
      <c r="AE116" s="33">
        <f>E116*12*Parámetros!$F103*$W$14+AE115*(1+i_noc)</f>
        <v>0</v>
      </c>
      <c r="AF116" s="33">
        <f>IFERROR(K116*$B116*VLOOKUP(n_mes_laguna,Parámetros!$Q$2:$S$42,3,FALSE)*$N$14,0)+AF115*(1+i_noc)</f>
        <v>0</v>
      </c>
      <c r="AG116" s="33">
        <f>IFERROR(L116*$B116*VLOOKUP(n_mes_laguna,Parámetros!$Q$2:$S$42,3,FALSE)*$N$14,0)+AG115*(1+i_noc)</f>
        <v>0</v>
      </c>
      <c r="AI116" s="74">
        <f t="shared" si="43"/>
        <v>0</v>
      </c>
      <c r="AJ116" s="74">
        <f t="shared" si="44"/>
        <v>0</v>
      </c>
      <c r="AK116" s="267">
        <f t="shared" si="45"/>
        <v>0</v>
      </c>
      <c r="AL116" s="267">
        <f t="shared" si="46"/>
        <v>0</v>
      </c>
      <c r="AM116" s="39"/>
      <c r="AN116" s="30"/>
      <c r="AO116" s="30"/>
      <c r="AP116" s="30"/>
    </row>
    <row r="117" spans="1:42" x14ac:dyDescent="0.25">
      <c r="A117" s="30">
        <v>2082</v>
      </c>
      <c r="B117" s="33">
        <f>w_uf*UF*Parámetros!C104</f>
        <v>1767707.0772168266</v>
      </c>
      <c r="C117" s="30">
        <f t="shared" si="40"/>
        <v>103</v>
      </c>
      <c r="D117" s="30">
        <f>((A117=Inputs!$C$12)*(Inputs!$D$12) + (A117=Inputs!$C$13)*(Inputs!$D$13) + (A117=Inputs!$C$14)*(Inputs!$D$14)) *(A117 &gt;= a_afil)*(A117&gt;=2024)</f>
        <v>0</v>
      </c>
      <c r="E117" s="30">
        <f>MIN(1,(A117=Inputs!$C$19)*Inputs!$D$19+(A117=Inputs!$C$20)*Inputs!$D$20+(A117=Inputs!$C$21)*Inputs!$D$21*(A117 &gt;= a_afil))</f>
        <v>0</v>
      </c>
      <c r="F117" s="30">
        <f t="shared" si="41"/>
        <v>0</v>
      </c>
      <c r="G117" s="30">
        <f t="shared" si="42"/>
        <v>0</v>
      </c>
      <c r="H117" s="30">
        <v>0.93155944347381592</v>
      </c>
      <c r="I117" s="37">
        <f t="shared" si="36"/>
        <v>0</v>
      </c>
      <c r="J117" s="37">
        <f t="shared" si="37"/>
        <v>0</v>
      </c>
      <c r="K117" s="30">
        <f>1*OR(Inputs!$D$17=$A117,Inputs!$E$17=$A117)*($E117=0)*(F117=1)</f>
        <v>0</v>
      </c>
      <c r="L117" s="30">
        <f>1*OR(Inputs!$D$17=$A117,Inputs!$E$17=$A117)*($E117=0)*(G117=1)</f>
        <v>0</v>
      </c>
      <c r="M117" s="73"/>
      <c r="N117" s="55"/>
      <c r="O117" s="55"/>
      <c r="P117" s="55"/>
      <c r="Q117" s="68">
        <f>MIN($B117,VLOOKUP($A117,Parámetros!$A$2:$J$122,8,FALSE)*UF)*12*I117*$X$2</f>
        <v>0</v>
      </c>
      <c r="R117" s="68">
        <f>MIN($B117,VLOOKUP($A117,Parámetros!$A$2:$J$122,8,FALSE)*UF)*12*J117*$X$2</f>
        <v>0</v>
      </c>
      <c r="S117" s="55">
        <f>MIN($B117,VLOOKUP($A117,Parámetros!$A$2:$J$122,10,FALSE)*UF)*12*I117*$X$3</f>
        <v>0</v>
      </c>
      <c r="T117" s="55">
        <f>MIN($B117,VLOOKUP($A117,Parámetros!$A$2:$J$122,10,FALSE)*UF)*12*J117*$X$3</f>
        <v>0</v>
      </c>
      <c r="U117" s="38"/>
      <c r="V117" s="38"/>
      <c r="W117" s="38"/>
      <c r="X117" s="38"/>
      <c r="Y117" s="38"/>
      <c r="Z117" s="54">
        <f t="shared" si="47"/>
        <v>0</v>
      </c>
      <c r="AA117" s="54">
        <f t="shared" si="48"/>
        <v>0</v>
      </c>
      <c r="AB117" s="55">
        <f t="shared" si="38"/>
        <v>0</v>
      </c>
      <c r="AC117" s="55">
        <f t="shared" si="39"/>
        <v>0</v>
      </c>
      <c r="AD117" s="33">
        <f>D117*mmater*Parámetros!$G104*$W$14+AD116*(1+i_noc)</f>
        <v>0</v>
      </c>
      <c r="AE117" s="33">
        <f>E117*12*Parámetros!$F104*$W$14+AE116*(1+i_noc)</f>
        <v>0</v>
      </c>
      <c r="AF117" s="33">
        <f>IFERROR(K117*$B117*VLOOKUP(n_mes_laguna,Parámetros!$Q$2:$S$42,3,FALSE)*$N$14,0)+AF116*(1+i_noc)</f>
        <v>0</v>
      </c>
      <c r="AG117" s="33">
        <f>IFERROR(L117*$B117*VLOOKUP(n_mes_laguna,Parámetros!$Q$2:$S$42,3,FALSE)*$N$14,0)+AG116*(1+i_noc)</f>
        <v>0</v>
      </c>
      <c r="AI117" s="74">
        <f t="shared" si="43"/>
        <v>0</v>
      </c>
      <c r="AJ117" s="74">
        <f t="shared" si="44"/>
        <v>0</v>
      </c>
      <c r="AK117" s="267">
        <f t="shared" si="45"/>
        <v>0</v>
      </c>
      <c r="AL117" s="267">
        <f t="shared" si="46"/>
        <v>0</v>
      </c>
      <c r="AM117" s="39"/>
      <c r="AN117" s="30"/>
      <c r="AO117" s="30"/>
      <c r="AP117" s="30"/>
    </row>
    <row r="118" spans="1:42" x14ac:dyDescent="0.25">
      <c r="A118" s="30">
        <v>2083</v>
      </c>
      <c r="B118" s="33">
        <f>w_uf*UF*Parámetros!C105</f>
        <v>1789803.4156820369</v>
      </c>
      <c r="C118" s="30">
        <f t="shared" si="40"/>
        <v>104</v>
      </c>
      <c r="D118" s="30">
        <f>((A118=Inputs!$C$12)*(Inputs!$D$12) + (A118=Inputs!$C$13)*(Inputs!$D$13) + (A118=Inputs!$C$14)*(Inputs!$D$14)) *(A118 &gt;= a_afil)*(A118&gt;=2024)</f>
        <v>0</v>
      </c>
      <c r="E118" s="30">
        <f>MIN(1,(A118=Inputs!$C$19)*Inputs!$D$19+(A118=Inputs!$C$20)*Inputs!$D$20+(A118=Inputs!$C$21)*Inputs!$D$21*(A118 &gt;= a_afil))</f>
        <v>0</v>
      </c>
      <c r="F118" s="30">
        <f t="shared" si="41"/>
        <v>0</v>
      </c>
      <c r="G118" s="30">
        <f t="shared" si="42"/>
        <v>0</v>
      </c>
      <c r="H118" s="30">
        <v>0.51719242334365845</v>
      </c>
      <c r="I118" s="37">
        <f t="shared" si="36"/>
        <v>0</v>
      </c>
      <c r="J118" s="37">
        <f t="shared" si="37"/>
        <v>0</v>
      </c>
      <c r="K118" s="30">
        <f>1*OR(Inputs!$D$17=$A118,Inputs!$E$17=$A118)*($E118=0)*(F118=1)</f>
        <v>0</v>
      </c>
      <c r="L118" s="30">
        <f>1*OR(Inputs!$D$17=$A118,Inputs!$E$17=$A118)*($E118=0)*(G118=1)</f>
        <v>0</v>
      </c>
      <c r="M118" s="73"/>
      <c r="N118" s="55"/>
      <c r="O118" s="55"/>
      <c r="P118" s="55"/>
      <c r="Q118" s="68">
        <f>MIN($B118,VLOOKUP($A118,Parámetros!$A$2:$J$122,8,FALSE)*UF)*12*I118*$X$2</f>
        <v>0</v>
      </c>
      <c r="R118" s="68">
        <f>MIN($B118,VLOOKUP($A118,Parámetros!$A$2:$J$122,8,FALSE)*UF)*12*J118*$X$2</f>
        <v>0</v>
      </c>
      <c r="S118" s="55">
        <f>MIN($B118,VLOOKUP($A118,Parámetros!$A$2:$J$122,10,FALSE)*UF)*12*I118*$X$3</f>
        <v>0</v>
      </c>
      <c r="T118" s="55">
        <f>MIN($B118,VLOOKUP($A118,Parámetros!$A$2:$J$122,10,FALSE)*UF)*12*J118*$X$3</f>
        <v>0</v>
      </c>
      <c r="U118" s="38"/>
      <c r="V118" s="38"/>
      <c r="W118" s="38"/>
      <c r="X118" s="38"/>
      <c r="Y118" s="38"/>
      <c r="Z118" s="54">
        <f t="shared" si="47"/>
        <v>0</v>
      </c>
      <c r="AA118" s="54">
        <f t="shared" si="48"/>
        <v>0</v>
      </c>
      <c r="AB118" s="55">
        <f t="shared" si="38"/>
        <v>0</v>
      </c>
      <c r="AC118" s="55">
        <f t="shared" si="39"/>
        <v>0</v>
      </c>
      <c r="AD118" s="33">
        <f>D118*mmater*Parámetros!$G105*$W$14+AD117*(1+i_noc)</f>
        <v>0</v>
      </c>
      <c r="AE118" s="33">
        <f>E118*12*Parámetros!$F105*$W$14+AE117*(1+i_noc)</f>
        <v>0</v>
      </c>
      <c r="AF118" s="33">
        <f>IFERROR(K118*$B118*VLOOKUP(n_mes_laguna,Parámetros!$Q$2:$S$42,3,FALSE)*$N$14,0)+AF117*(1+i_noc)</f>
        <v>0</v>
      </c>
      <c r="AG118" s="33">
        <f>IFERROR(L118*$B118*VLOOKUP(n_mes_laguna,Parámetros!$Q$2:$S$42,3,FALSE)*$N$14,0)+AG117*(1+i_noc)</f>
        <v>0</v>
      </c>
      <c r="AI118" s="74">
        <f t="shared" si="43"/>
        <v>0</v>
      </c>
      <c r="AJ118" s="74">
        <f t="shared" si="44"/>
        <v>0</v>
      </c>
      <c r="AK118" s="267">
        <f t="shared" si="45"/>
        <v>0</v>
      </c>
      <c r="AL118" s="267">
        <f t="shared" si="46"/>
        <v>0</v>
      </c>
      <c r="AM118" s="39"/>
      <c r="AN118" s="30"/>
      <c r="AO118" s="30"/>
      <c r="AP118" s="30"/>
    </row>
    <row r="119" spans="1:42" x14ac:dyDescent="0.25">
      <c r="A119" s="30">
        <v>2084</v>
      </c>
      <c r="B119" s="33">
        <f>w_uf*UF*Parámetros!C106</f>
        <v>1812175.9583780621</v>
      </c>
      <c r="C119" s="30">
        <f t="shared" si="40"/>
        <v>105</v>
      </c>
      <c r="D119" s="30">
        <f>((A119=Inputs!$C$12)*(Inputs!$D$12) + (A119=Inputs!$C$13)*(Inputs!$D$13) + (A119=Inputs!$C$14)*(Inputs!$D$14)) *(A119 &gt;= a_afil)*(A119&gt;=2024)</f>
        <v>0</v>
      </c>
      <c r="E119" s="30">
        <f>MIN(1,(A119=Inputs!$C$19)*Inputs!$D$19+(A119=Inputs!$C$20)*Inputs!$D$20+(A119=Inputs!$C$21)*Inputs!$D$21*(A119 &gt;= a_afil))</f>
        <v>0</v>
      </c>
      <c r="F119" s="30">
        <f t="shared" si="41"/>
        <v>0</v>
      </c>
      <c r="G119" s="30">
        <f t="shared" si="42"/>
        <v>0</v>
      </c>
      <c r="H119" s="30">
        <v>0.33030080795288086</v>
      </c>
      <c r="I119" s="37">
        <f t="shared" si="36"/>
        <v>0</v>
      </c>
      <c r="J119" s="37">
        <f t="shared" si="37"/>
        <v>0</v>
      </c>
      <c r="K119" s="30">
        <f>1*OR(Inputs!$D$17=$A119,Inputs!$E$17=$A119)*($E119=0)*(F119=1)</f>
        <v>0</v>
      </c>
      <c r="L119" s="30">
        <f>1*OR(Inputs!$D$17=$A119,Inputs!$E$17=$A119)*($E119=0)*(G119=1)</f>
        <v>0</v>
      </c>
      <c r="M119" s="73"/>
      <c r="N119" s="55"/>
      <c r="O119" s="55"/>
      <c r="P119" s="55"/>
      <c r="Q119" s="68">
        <f>MIN($B119,VLOOKUP($A119,Parámetros!$A$2:$J$122,8,FALSE)*UF)*12*I119*$X$2</f>
        <v>0</v>
      </c>
      <c r="R119" s="68">
        <f>MIN($B119,VLOOKUP($A119,Parámetros!$A$2:$J$122,8,FALSE)*UF)*12*J119*$X$2</f>
        <v>0</v>
      </c>
      <c r="S119" s="55">
        <f>MIN($B119,VLOOKUP($A119,Parámetros!$A$2:$J$122,10,FALSE)*UF)*12*I119*$X$3</f>
        <v>0</v>
      </c>
      <c r="T119" s="55">
        <f>MIN($B119,VLOOKUP($A119,Parámetros!$A$2:$J$122,10,FALSE)*UF)*12*J119*$X$3</f>
        <v>0</v>
      </c>
      <c r="U119" s="38"/>
      <c r="V119" s="38"/>
      <c r="W119" s="38"/>
      <c r="X119" s="38"/>
      <c r="Y119" s="38"/>
      <c r="Z119" s="54">
        <f t="shared" si="47"/>
        <v>0</v>
      </c>
      <c r="AA119" s="54">
        <f t="shared" si="48"/>
        <v>0</v>
      </c>
      <c r="AB119" s="55">
        <f t="shared" si="38"/>
        <v>0</v>
      </c>
      <c r="AC119" s="55">
        <f t="shared" si="39"/>
        <v>0</v>
      </c>
      <c r="AD119" s="33">
        <f>D119*mmater*Parámetros!$G106*$W$14+AD118*(1+i_noc)</f>
        <v>0</v>
      </c>
      <c r="AE119" s="33">
        <f>E119*12*Parámetros!$F106*$W$14+AE118*(1+i_noc)</f>
        <v>0</v>
      </c>
      <c r="AF119" s="33">
        <f>IFERROR(K119*$B119*VLOOKUP(n_mes_laguna,Parámetros!$Q$2:$S$42,3,FALSE)*$N$14,0)+AF118*(1+i_noc)</f>
        <v>0</v>
      </c>
      <c r="AG119" s="33">
        <f>IFERROR(L119*$B119*VLOOKUP(n_mes_laguna,Parámetros!$Q$2:$S$42,3,FALSE)*$N$14,0)+AG118*(1+i_noc)</f>
        <v>0</v>
      </c>
      <c r="AI119" s="74">
        <f t="shared" si="43"/>
        <v>0</v>
      </c>
      <c r="AJ119" s="74">
        <f t="shared" si="44"/>
        <v>0</v>
      </c>
      <c r="AK119" s="267">
        <f t="shared" si="45"/>
        <v>0</v>
      </c>
      <c r="AL119" s="267">
        <f t="shared" si="46"/>
        <v>0</v>
      </c>
      <c r="AM119" s="39"/>
      <c r="AN119" s="30"/>
      <c r="AO119" s="30"/>
      <c r="AP119" s="30"/>
    </row>
    <row r="120" spans="1:42" x14ac:dyDescent="0.25">
      <c r="A120" s="30">
        <v>2085</v>
      </c>
      <c r="B120" s="33">
        <f>w_uf*UF*Parámetros!C107</f>
        <v>1834828.157857788</v>
      </c>
      <c r="C120" s="30">
        <f t="shared" si="40"/>
        <v>106</v>
      </c>
      <c r="D120" s="30">
        <f>((A120=Inputs!$C$12)*(Inputs!$D$12) + (A120=Inputs!$C$13)*(Inputs!$D$13) + (A120=Inputs!$C$14)*(Inputs!$D$14)) *(A120 &gt;= a_afil)*(A120&gt;=2024)</f>
        <v>0</v>
      </c>
      <c r="E120" s="30">
        <f>MIN(1,(A120=Inputs!$C$19)*Inputs!$D$19+(A120=Inputs!$C$20)*Inputs!$D$20+(A120=Inputs!$C$21)*Inputs!$D$21*(A120 &gt;= a_afil))</f>
        <v>0</v>
      </c>
      <c r="F120" s="30">
        <f t="shared" si="41"/>
        <v>0</v>
      </c>
      <c r="G120" s="30">
        <f t="shared" si="42"/>
        <v>0</v>
      </c>
      <c r="H120" s="30">
        <v>0.86845368146896362</v>
      </c>
      <c r="I120" s="37">
        <f t="shared" si="36"/>
        <v>0</v>
      </c>
      <c r="J120" s="37">
        <f t="shared" si="37"/>
        <v>0</v>
      </c>
      <c r="K120" s="30">
        <f>1*OR(Inputs!$D$17=$A120,Inputs!$E$17=$A120)*($E120=0)*(F120=1)</f>
        <v>0</v>
      </c>
      <c r="L120" s="30">
        <f>1*OR(Inputs!$D$17=$A120,Inputs!$E$17=$A120)*($E120=0)*(G120=1)</f>
        <v>0</v>
      </c>
      <c r="M120" s="73"/>
      <c r="N120" s="55"/>
      <c r="O120" s="55"/>
      <c r="P120" s="55"/>
      <c r="Q120" s="68">
        <f>MIN($B120,VLOOKUP($A120,Parámetros!$A$2:$J$122,8,FALSE)*UF)*12*I120*$X$2</f>
        <v>0</v>
      </c>
      <c r="R120" s="68">
        <f>MIN($B120,VLOOKUP($A120,Parámetros!$A$2:$J$122,8,FALSE)*UF)*12*J120*$X$2</f>
        <v>0</v>
      </c>
      <c r="S120" s="55">
        <f>MIN($B120,VLOOKUP($A120,Parámetros!$A$2:$J$122,10,FALSE)*UF)*12*I120*$X$3</f>
        <v>0</v>
      </c>
      <c r="T120" s="55">
        <f>MIN($B120,VLOOKUP($A120,Parámetros!$A$2:$J$122,10,FALSE)*UF)*12*J120*$X$3</f>
        <v>0</v>
      </c>
      <c r="U120" s="38"/>
      <c r="V120" s="38"/>
      <c r="W120" s="38"/>
      <c r="X120" s="38"/>
      <c r="Y120" s="38"/>
      <c r="Z120" s="54">
        <f t="shared" si="47"/>
        <v>0</v>
      </c>
      <c r="AA120" s="54">
        <f t="shared" si="48"/>
        <v>0</v>
      </c>
      <c r="AB120" s="55">
        <f t="shared" si="38"/>
        <v>0</v>
      </c>
      <c r="AC120" s="55">
        <f t="shared" si="39"/>
        <v>0</v>
      </c>
      <c r="AD120" s="33">
        <f>D120*mmater*Parámetros!$G107*$W$14+AD119*(1+i_noc)</f>
        <v>0</v>
      </c>
      <c r="AE120" s="33">
        <f>E120*12*Parámetros!$F107*$W$14+AE119*(1+i_noc)</f>
        <v>0</v>
      </c>
      <c r="AF120" s="33">
        <f>IFERROR(K120*$B120*VLOOKUP(n_mes_laguna,Parámetros!$Q$2:$S$42,3,FALSE)*$N$14,0)+AF119*(1+i_noc)</f>
        <v>0</v>
      </c>
      <c r="AG120" s="33">
        <f>IFERROR(L120*$B120*VLOOKUP(n_mes_laguna,Parámetros!$Q$2:$S$42,3,FALSE)*$N$14,0)+AG119*(1+i_noc)</f>
        <v>0</v>
      </c>
      <c r="AI120" s="74">
        <f t="shared" si="43"/>
        <v>0</v>
      </c>
      <c r="AJ120" s="74">
        <f t="shared" si="44"/>
        <v>0</v>
      </c>
      <c r="AK120" s="267">
        <f t="shared" si="45"/>
        <v>0</v>
      </c>
      <c r="AL120" s="267">
        <f t="shared" si="46"/>
        <v>0</v>
      </c>
      <c r="AM120" s="39"/>
      <c r="AN120" s="30"/>
      <c r="AO120" s="30"/>
      <c r="AP120" s="30"/>
    </row>
    <row r="121" spans="1:42" x14ac:dyDescent="0.25">
      <c r="A121" s="30">
        <v>2086</v>
      </c>
      <c r="B121" s="33">
        <f>w_uf*UF*Parámetros!C108</f>
        <v>1857763.5098310101</v>
      </c>
      <c r="C121" s="30">
        <f t="shared" si="40"/>
        <v>107</v>
      </c>
      <c r="D121" s="30">
        <f>((A121=Inputs!$C$12)*(Inputs!$D$12) + (A121=Inputs!$C$13)*(Inputs!$D$13) + (A121=Inputs!$C$14)*(Inputs!$D$14)) *(A121 &gt;= a_afil)*(A121&gt;=2024)</f>
        <v>0</v>
      </c>
      <c r="E121" s="30">
        <f>MIN(1,(A121=Inputs!$C$19)*Inputs!$D$19+(A121=Inputs!$C$20)*Inputs!$D$20+(A121=Inputs!$C$21)*Inputs!$D$21*(A121 &gt;= a_afil))</f>
        <v>0</v>
      </c>
      <c r="F121" s="30">
        <f t="shared" si="41"/>
        <v>0</v>
      </c>
      <c r="G121" s="30">
        <f t="shared" si="42"/>
        <v>0</v>
      </c>
      <c r="H121" s="30">
        <v>0.25906097888946533</v>
      </c>
      <c r="I121" s="37">
        <f t="shared" si="36"/>
        <v>0</v>
      </c>
      <c r="J121" s="37">
        <f t="shared" si="37"/>
        <v>0</v>
      </c>
      <c r="K121" s="30">
        <f>1*OR(Inputs!$D$17=$A121,Inputs!$E$17=$A121)*($E121=0)*(F121=1)</f>
        <v>0</v>
      </c>
      <c r="L121" s="30">
        <f>1*OR(Inputs!$D$17=$A121,Inputs!$E$17=$A121)*($E121=0)*(G121=1)</f>
        <v>0</v>
      </c>
      <c r="M121" s="73"/>
      <c r="N121" s="55"/>
      <c r="O121" s="55"/>
      <c r="P121" s="55"/>
      <c r="Q121" s="68">
        <f>MIN($B121,VLOOKUP($A121,Parámetros!$A$2:$J$122,8,FALSE)*UF)*12*I121*$X$2</f>
        <v>0</v>
      </c>
      <c r="R121" s="68">
        <f>MIN($B121,VLOOKUP($A121,Parámetros!$A$2:$J$122,8,FALSE)*UF)*12*J121*$X$2</f>
        <v>0</v>
      </c>
      <c r="S121" s="55">
        <f>MIN($B121,VLOOKUP($A121,Parámetros!$A$2:$J$122,10,FALSE)*UF)*12*I121*$X$3</f>
        <v>0</v>
      </c>
      <c r="T121" s="55">
        <f>MIN($B121,VLOOKUP($A121,Parámetros!$A$2:$J$122,10,FALSE)*UF)*12*J121*$X$3</f>
        <v>0</v>
      </c>
      <c r="U121" s="38"/>
      <c r="V121" s="38"/>
      <c r="W121" s="38"/>
      <c r="X121" s="38"/>
      <c r="Y121" s="38"/>
      <c r="Z121" s="54">
        <f t="shared" si="47"/>
        <v>0</v>
      </c>
      <c r="AA121" s="54">
        <f t="shared" si="48"/>
        <v>0</v>
      </c>
      <c r="AB121" s="55">
        <f t="shared" si="38"/>
        <v>0</v>
      </c>
      <c r="AC121" s="55">
        <f t="shared" si="39"/>
        <v>0</v>
      </c>
      <c r="AD121" s="33">
        <f>D121*mmater*Parámetros!$G108*$W$14+AD120*(1+i_noc)</f>
        <v>0</v>
      </c>
      <c r="AE121" s="33">
        <f>E121*12*Parámetros!$F108*$W$14+AE120*(1+i_noc)</f>
        <v>0</v>
      </c>
      <c r="AF121" s="33">
        <f>IFERROR(K121*$B121*VLOOKUP(n_mes_laguna,Parámetros!$Q$2:$S$42,3,FALSE)*$N$14,0)+AF120*(1+i_noc)</f>
        <v>0</v>
      </c>
      <c r="AG121" s="33">
        <f>IFERROR(L121*$B121*VLOOKUP(n_mes_laguna,Parámetros!$Q$2:$S$42,3,FALSE)*$N$14,0)+AG120*(1+i_noc)</f>
        <v>0</v>
      </c>
      <c r="AI121" s="74">
        <f t="shared" si="43"/>
        <v>0</v>
      </c>
      <c r="AJ121" s="74">
        <f t="shared" si="44"/>
        <v>0</v>
      </c>
      <c r="AK121" s="267">
        <f t="shared" si="45"/>
        <v>0</v>
      </c>
      <c r="AL121" s="267">
        <f t="shared" si="46"/>
        <v>0</v>
      </c>
      <c r="AM121" s="39"/>
      <c r="AN121" s="30"/>
      <c r="AO121" s="30"/>
      <c r="AP121" s="30"/>
    </row>
    <row r="122" spans="1:42" x14ac:dyDescent="0.25">
      <c r="A122" s="30">
        <v>2087</v>
      </c>
      <c r="B122" s="33">
        <f>w_uf*UF*Parámetros!C109</f>
        <v>1880985.5537038976</v>
      </c>
      <c r="C122" s="30">
        <f t="shared" si="40"/>
        <v>108</v>
      </c>
      <c r="D122" s="30">
        <f>((A122=Inputs!$C$12)*(Inputs!$D$12) + (A122=Inputs!$C$13)*(Inputs!$D$13) + (A122=Inputs!$C$14)*(Inputs!$D$14)) *(A122 &gt;= a_afil)*(A122&gt;=2024)</f>
        <v>0</v>
      </c>
      <c r="E122" s="30">
        <f>MIN(1,(A122=Inputs!$C$19)*Inputs!$D$19+(A122=Inputs!$C$20)*Inputs!$D$20+(A122=Inputs!$C$21)*Inputs!$D$21*(A122 &gt;= a_afil))</f>
        <v>0</v>
      </c>
      <c r="F122" s="30">
        <f t="shared" si="41"/>
        <v>0</v>
      </c>
      <c r="G122" s="30">
        <f t="shared" si="42"/>
        <v>0</v>
      </c>
      <c r="H122" s="30">
        <v>0.25954133272171021</v>
      </c>
      <c r="I122" s="37">
        <f t="shared" ref="I122:I134" si="49">IF(F122=1,+dens_cot,0)</f>
        <v>0</v>
      </c>
      <c r="J122" s="37">
        <f t="shared" si="37"/>
        <v>0</v>
      </c>
      <c r="K122" s="30">
        <f>1*OR(Inputs!$D$17=$A122,Inputs!$E$17=$A122)*($E122=0)*(F122=1)</f>
        <v>0</v>
      </c>
      <c r="L122" s="30">
        <f>1*OR(Inputs!$D$17=$A122,Inputs!$E$17=$A122)*($E122=0)*(G122=1)</f>
        <v>0</v>
      </c>
      <c r="M122" s="73"/>
      <c r="N122" s="55"/>
      <c r="O122" s="55"/>
      <c r="P122" s="55"/>
      <c r="Q122" s="68">
        <f>MIN($B122,VLOOKUP($A122,Parámetros!$A$2:$J$122,8,FALSE)*UF)*12*I122*$X$2</f>
        <v>0</v>
      </c>
      <c r="R122" s="68">
        <f>MIN($B122,VLOOKUP($A122,Parámetros!$A$2:$J$122,8,FALSE)*UF)*12*J122*$X$2</f>
        <v>0</v>
      </c>
      <c r="S122" s="55">
        <f>MIN($B122,VLOOKUP($A122,Parámetros!$A$2:$J$122,10,FALSE)*UF)*12*I122*$X$3</f>
        <v>0</v>
      </c>
      <c r="T122" s="55">
        <f>MIN($B122,VLOOKUP($A122,Parámetros!$A$2:$J$122,10,FALSE)*UF)*12*J122*$X$3</f>
        <v>0</v>
      </c>
      <c r="U122" s="38"/>
      <c r="V122" s="38"/>
      <c r="W122" s="38"/>
      <c r="X122" s="38"/>
      <c r="Y122" s="38"/>
      <c r="Z122" s="54">
        <f t="shared" si="47"/>
        <v>0</v>
      </c>
      <c r="AA122" s="54">
        <f t="shared" si="48"/>
        <v>0</v>
      </c>
      <c r="AB122" s="55">
        <f t="shared" si="38"/>
        <v>0</v>
      </c>
      <c r="AC122" s="55">
        <f t="shared" si="39"/>
        <v>0</v>
      </c>
      <c r="AD122" s="33">
        <f>D122*mmater*Parámetros!$G109*$W$14+AD121*(1+i_noc)</f>
        <v>0</v>
      </c>
      <c r="AE122" s="33">
        <f>E122*12*Parámetros!$F109*$W$14+AE121*(1+i_noc)</f>
        <v>0</v>
      </c>
      <c r="AF122" s="33">
        <f>IFERROR(K122*$B122*VLOOKUP(n_mes_laguna,Parámetros!$Q$2:$S$42,3,FALSE)*$N$14,0)+AF121*(1+i_noc)</f>
        <v>0</v>
      </c>
      <c r="AG122" s="33">
        <f>IFERROR(L122*$B122*VLOOKUP(n_mes_laguna,Parámetros!$Q$2:$S$42,3,FALSE)*$N$14,0)+AG121*(1+i_noc)</f>
        <v>0</v>
      </c>
      <c r="AI122" s="74">
        <f t="shared" si="43"/>
        <v>0</v>
      </c>
      <c r="AJ122" s="74">
        <f t="shared" si="44"/>
        <v>0</v>
      </c>
      <c r="AK122" s="267">
        <f t="shared" si="45"/>
        <v>0</v>
      </c>
      <c r="AL122" s="267">
        <f t="shared" si="46"/>
        <v>0</v>
      </c>
      <c r="AM122" s="39"/>
      <c r="AN122" s="30"/>
      <c r="AO122" s="30"/>
      <c r="AP122" s="30"/>
    </row>
    <row r="123" spans="1:42" x14ac:dyDescent="0.25">
      <c r="A123" s="30">
        <v>2088</v>
      </c>
      <c r="B123" s="33">
        <f>w_uf*UF*Parámetros!C110</f>
        <v>1904497.8731251962</v>
      </c>
      <c r="C123" s="30">
        <f t="shared" si="40"/>
        <v>109</v>
      </c>
      <c r="D123" s="30">
        <f>((A123=Inputs!$C$12)*(Inputs!$D$12) + (A123=Inputs!$C$13)*(Inputs!$D$13) + (A123=Inputs!$C$14)*(Inputs!$D$14)) *(A123 &gt;= a_afil)*(A123&gt;=2024)</f>
        <v>0</v>
      </c>
      <c r="E123" s="30">
        <f>MIN(1,(A123=Inputs!$C$19)*Inputs!$D$19+(A123=Inputs!$C$20)*Inputs!$D$20+(A123=Inputs!$C$21)*Inputs!$D$21*(A123 &gt;= a_afil))</f>
        <v>0</v>
      </c>
      <c r="F123" s="30">
        <f t="shared" si="41"/>
        <v>0</v>
      </c>
      <c r="G123" s="30">
        <f t="shared" si="42"/>
        <v>0</v>
      </c>
      <c r="H123" s="30">
        <v>0.17869353294372559</v>
      </c>
      <c r="I123" s="37">
        <f t="shared" si="49"/>
        <v>0</v>
      </c>
      <c r="J123" s="37">
        <f t="shared" si="37"/>
        <v>0</v>
      </c>
      <c r="K123" s="30">
        <f>1*OR(Inputs!$D$17=$A123,Inputs!$E$17=$A123)*($E123=0)*(F123=1)</f>
        <v>0</v>
      </c>
      <c r="L123" s="30">
        <f>1*OR(Inputs!$D$17=$A123,Inputs!$E$17=$A123)*($E123=0)*(G123=1)</f>
        <v>0</v>
      </c>
      <c r="M123" s="73"/>
      <c r="N123" s="55"/>
      <c r="O123" s="55"/>
      <c r="P123" s="55"/>
      <c r="Q123" s="68">
        <f>MIN($B123,VLOOKUP($A123,Parámetros!$A$2:$J$122,8,FALSE)*UF)*12*I123*$X$2</f>
        <v>0</v>
      </c>
      <c r="R123" s="68">
        <f>MIN($B123,VLOOKUP($A123,Parámetros!$A$2:$J$122,8,FALSE)*UF)*12*J123*$X$2</f>
        <v>0</v>
      </c>
      <c r="S123" s="55">
        <f>MIN($B123,VLOOKUP($A123,Parámetros!$A$2:$J$122,10,FALSE)*UF)*12*I123*$X$3</f>
        <v>0</v>
      </c>
      <c r="T123" s="55">
        <f>MIN($B123,VLOOKUP($A123,Parámetros!$A$2:$J$122,10,FALSE)*UF)*12*J123*$X$3</f>
        <v>0</v>
      </c>
      <c r="U123" s="38"/>
      <c r="V123" s="38"/>
      <c r="W123" s="38"/>
      <c r="X123" s="38"/>
      <c r="Y123" s="38"/>
      <c r="Z123" s="54">
        <f t="shared" si="47"/>
        <v>0</v>
      </c>
      <c r="AA123" s="54">
        <f t="shared" si="48"/>
        <v>0</v>
      </c>
      <c r="AB123" s="55">
        <f t="shared" si="38"/>
        <v>0</v>
      </c>
      <c r="AC123" s="55">
        <f t="shared" si="39"/>
        <v>0</v>
      </c>
      <c r="AD123" s="33">
        <f>D123*mmater*Parámetros!$G110*$W$14+AD122*(1+i_noc)</f>
        <v>0</v>
      </c>
      <c r="AE123" s="33">
        <f>E123*12*Parámetros!$F110*$W$14+AE122*(1+i_noc)</f>
        <v>0</v>
      </c>
      <c r="AF123" s="33">
        <f>IFERROR(K123*$B123*VLOOKUP(n_mes_laguna,Parámetros!$Q$2:$S$42,3,FALSE)*$N$14,0)+AF122*(1+i_noc)</f>
        <v>0</v>
      </c>
      <c r="AG123" s="33">
        <f>IFERROR(L123*$B123*VLOOKUP(n_mes_laguna,Parámetros!$Q$2:$S$42,3,FALSE)*$N$14,0)+AG122*(1+i_noc)</f>
        <v>0</v>
      </c>
      <c r="AI123" s="74">
        <f t="shared" si="43"/>
        <v>0</v>
      </c>
      <c r="AJ123" s="74">
        <f t="shared" si="44"/>
        <v>0</v>
      </c>
      <c r="AK123" s="267">
        <f t="shared" si="45"/>
        <v>0</v>
      </c>
      <c r="AL123" s="267">
        <f t="shared" si="46"/>
        <v>0</v>
      </c>
      <c r="AM123" s="39"/>
      <c r="AN123" s="30"/>
      <c r="AO123" s="30"/>
      <c r="AP123" s="30"/>
    </row>
    <row r="124" spans="1:42" x14ac:dyDescent="0.25">
      <c r="A124" s="30">
        <v>2089</v>
      </c>
      <c r="B124" s="33">
        <f>w_uf*UF*Parámetros!C111</f>
        <v>1928304.0965392611</v>
      </c>
      <c r="C124" s="30">
        <f t="shared" si="40"/>
        <v>110</v>
      </c>
      <c r="D124" s="30">
        <f>((A124=Inputs!$C$12)*(Inputs!$D$12) + (A124=Inputs!$C$13)*(Inputs!$D$13) + (A124=Inputs!$C$14)*(Inputs!$D$14)) *(A124 &gt;= a_afil)*(A124&gt;=2024)</f>
        <v>0</v>
      </c>
      <c r="E124" s="30">
        <f>MIN(1,(A124=Inputs!$C$19)*Inputs!$D$19+(A124=Inputs!$C$20)*Inputs!$D$20+(A124=Inputs!$C$21)*Inputs!$D$21*(A124 &gt;= a_afil))</f>
        <v>0</v>
      </c>
      <c r="F124" s="30">
        <f t="shared" si="41"/>
        <v>0</v>
      </c>
      <c r="G124" s="30">
        <f t="shared" si="42"/>
        <v>0</v>
      </c>
      <c r="H124" s="30">
        <v>0.34695714712142944</v>
      </c>
      <c r="I124" s="37">
        <f t="shared" si="49"/>
        <v>0</v>
      </c>
      <c r="J124" s="37">
        <f t="shared" si="37"/>
        <v>0</v>
      </c>
      <c r="K124" s="30">
        <f>1*OR(Inputs!$D$17=$A124,Inputs!$E$17=$A124)*($E124=0)*(F124=1)</f>
        <v>0</v>
      </c>
      <c r="L124" s="30">
        <f>1*OR(Inputs!$D$17=$A124,Inputs!$E$17=$A124)*($E124=0)*(G124=1)</f>
        <v>0</v>
      </c>
      <c r="M124" s="73"/>
      <c r="N124" s="55"/>
      <c r="O124" s="55"/>
      <c r="P124" s="55"/>
      <c r="Q124" s="68">
        <f>MIN($B124,VLOOKUP($A124,Parámetros!$A$2:$J$122,8,FALSE)*UF)*12*I124*$X$2</f>
        <v>0</v>
      </c>
      <c r="R124" s="68">
        <f>MIN($B124,VLOOKUP($A124,Parámetros!$A$2:$J$122,8,FALSE)*UF)*12*J124*$X$2</f>
        <v>0</v>
      </c>
      <c r="S124" s="55">
        <f>MIN($B124,VLOOKUP($A124,Parámetros!$A$2:$J$122,10,FALSE)*UF)*12*I124*$X$3</f>
        <v>0</v>
      </c>
      <c r="T124" s="55">
        <f>MIN($B124,VLOOKUP($A124,Parámetros!$A$2:$J$122,10,FALSE)*UF)*12*J124*$X$3</f>
        <v>0</v>
      </c>
      <c r="U124" s="38"/>
      <c r="V124" s="38"/>
      <c r="W124" s="38"/>
      <c r="X124" s="38"/>
      <c r="Y124" s="38"/>
      <c r="Z124" s="54">
        <f t="shared" si="47"/>
        <v>0</v>
      </c>
      <c r="AA124" s="54">
        <f t="shared" si="48"/>
        <v>0</v>
      </c>
      <c r="AB124" s="55">
        <f t="shared" si="38"/>
        <v>0</v>
      </c>
      <c r="AC124" s="55">
        <f t="shared" si="39"/>
        <v>0</v>
      </c>
      <c r="AD124" s="33">
        <f>D124*mmater*Parámetros!$G111*$W$14+AD123*(1+i_noc)</f>
        <v>0</v>
      </c>
      <c r="AE124" s="33">
        <f>E124*12*Parámetros!$F111*$W$14+AE123*(1+i_noc)</f>
        <v>0</v>
      </c>
      <c r="AF124" s="33">
        <f>IFERROR(K124*$B124*VLOOKUP(n_mes_laguna,Parámetros!$Q$2:$S$42,3,FALSE)*$N$14,0)+AF123*(1+i_noc)</f>
        <v>0</v>
      </c>
      <c r="AG124" s="33">
        <f>IFERROR(L124*$B124*VLOOKUP(n_mes_laguna,Parámetros!$Q$2:$S$42,3,FALSE)*$N$14,0)+AG123*(1+i_noc)</f>
        <v>0</v>
      </c>
      <c r="AI124" s="74">
        <f t="shared" si="43"/>
        <v>0</v>
      </c>
      <c r="AJ124" s="74">
        <f t="shared" si="44"/>
        <v>0</v>
      </c>
      <c r="AK124" s="267">
        <f t="shared" si="45"/>
        <v>0</v>
      </c>
      <c r="AL124" s="267">
        <f t="shared" si="46"/>
        <v>0</v>
      </c>
      <c r="AM124" s="39"/>
      <c r="AN124" s="30"/>
      <c r="AO124" s="30"/>
      <c r="AP124" s="30"/>
    </row>
    <row r="125" spans="1:42" x14ac:dyDescent="0.25">
      <c r="A125" s="30">
        <v>2090</v>
      </c>
      <c r="B125" s="33">
        <f>w_uf*UF*Parámetros!C112</f>
        <v>1952407.8977460021</v>
      </c>
      <c r="C125" s="30" t="str">
        <f t="shared" si="40"/>
        <v/>
      </c>
      <c r="D125" s="30">
        <f>((A125=Inputs!$C$12)*(Inputs!$D$12) + (A125=Inputs!$C$13)*(Inputs!$D$13) + (A125=Inputs!$C$14)*(Inputs!$D$14)) *(A125 &gt;= a_afil)*(A125&gt;=2024)</f>
        <v>0</v>
      </c>
      <c r="E125" s="30">
        <f>MIN(1,(A125=Inputs!$C$19)*Inputs!$D$19+(A125=Inputs!$C$20)*Inputs!$D$20+(A125=Inputs!$C$21)*Inputs!$D$21*(A125 &gt;= a_afil))</f>
        <v>0</v>
      </c>
      <c r="F125" s="30">
        <f t="shared" si="41"/>
        <v>0</v>
      </c>
      <c r="G125" s="30">
        <f t="shared" si="42"/>
        <v>0</v>
      </c>
      <c r="H125" s="30">
        <v>2.5056600570678711E-3</v>
      </c>
      <c r="I125" s="37">
        <f t="shared" si="49"/>
        <v>0</v>
      </c>
      <c r="J125" s="37">
        <f t="shared" si="37"/>
        <v>0</v>
      </c>
      <c r="K125" s="30">
        <f>1*OR(Inputs!$D$17=$A125,Inputs!$E$17=$A125)*($E125=0)*(F125=1)</f>
        <v>0</v>
      </c>
      <c r="L125" s="30">
        <f>1*OR(Inputs!$D$17=$A125,Inputs!$E$17=$A125)*($E125=0)*(G125=1)</f>
        <v>0</v>
      </c>
      <c r="M125" s="73"/>
      <c r="N125" s="55"/>
      <c r="O125" s="55"/>
      <c r="P125" s="55"/>
      <c r="Q125" s="68">
        <f>MIN($B125,VLOOKUP($A125,Parámetros!$A$2:$J$122,8,FALSE)*UF)*12*I125*$X$2</f>
        <v>0</v>
      </c>
      <c r="R125" s="68">
        <f>MIN($B125,VLOOKUP($A125,Parámetros!$A$2:$J$122,8,FALSE)*UF)*12*J125*$X$2</f>
        <v>0</v>
      </c>
      <c r="S125" s="55">
        <f>MIN($B125,VLOOKUP($A125,Parámetros!$A$2:$J$122,10,FALSE)*UF)*12*I125*$X$3</f>
        <v>0</v>
      </c>
      <c r="T125" s="55">
        <f>MIN($B125,VLOOKUP($A125,Parámetros!$A$2:$J$122,10,FALSE)*UF)*12*J125*$X$3</f>
        <v>0</v>
      </c>
      <c r="U125" s="38"/>
      <c r="V125" s="38"/>
      <c r="W125" s="38"/>
      <c r="X125" s="38"/>
      <c r="Y125" s="38"/>
      <c r="Z125" s="54">
        <f t="shared" si="47"/>
        <v>0</v>
      </c>
      <c r="AA125" s="54">
        <f t="shared" si="48"/>
        <v>0</v>
      </c>
      <c r="AB125" s="55">
        <f t="shared" ref="AB125:AB135" si="50">F124*AB124*(1+_xlfn.XLOOKUP(MIN(2024,$A124),agnos_rent,rent_base))*(1-$X$6)+S125</f>
        <v>0</v>
      </c>
      <c r="AC125" s="55">
        <f t="shared" ref="AC125:AC135" si="51">G124*AC124*(1+_xlfn.XLOOKUP(MIN(2024,$A124),agnos_rent,rent_base))*(1-$X$6)+T125</f>
        <v>0</v>
      </c>
      <c r="AD125" s="33">
        <f>D125*mmater*Parámetros!$G112*$W$14+AD124*(1+i_noc)</f>
        <v>0</v>
      </c>
      <c r="AE125" s="33">
        <f>E125*12*Parámetros!$F112*$W$14+AE124*(1+i_noc)</f>
        <v>0</v>
      </c>
      <c r="AF125" s="33">
        <f>IFERROR(K125*$B125*VLOOKUP(n_mes_laguna,Parámetros!$Q$2:$S$42,3,FALSE)*$N$14,0)+AF124*(1+i_noc)</f>
        <v>0</v>
      </c>
      <c r="AG125" s="33">
        <f>IFERROR(L125*$B125*VLOOKUP(n_mes_laguna,Parámetros!$Q$2:$S$42,3,FALSE)*$N$14,0)+AG124*(1+i_noc)</f>
        <v>0</v>
      </c>
      <c r="AI125" s="74">
        <f t="shared" si="43"/>
        <v>0</v>
      </c>
      <c r="AJ125" s="74">
        <f t="shared" si="44"/>
        <v>0</v>
      </c>
      <c r="AK125" s="267">
        <f t="shared" si="45"/>
        <v>0</v>
      </c>
      <c r="AL125" s="267">
        <f t="shared" si="46"/>
        <v>0</v>
      </c>
      <c r="AM125" s="39"/>
      <c r="AN125" s="30"/>
      <c r="AO125" s="30"/>
      <c r="AP125" s="30"/>
    </row>
    <row r="126" spans="1:42" x14ac:dyDescent="0.25">
      <c r="A126" s="30">
        <v>2091</v>
      </c>
      <c r="B126" s="33">
        <f>w_uf*UF*Parámetros!C113</f>
        <v>1976812.9964678269</v>
      </c>
      <c r="C126" s="30" t="str">
        <f t="shared" si="40"/>
        <v/>
      </c>
      <c r="D126" s="30">
        <f>((A126=Inputs!$C$12)*(Inputs!$D$12) + (A126=Inputs!$C$13)*(Inputs!$D$13) + (A126=Inputs!$C$14)*(Inputs!$D$14)) *(A126 &gt;= a_afil)*(A126&gt;=2024)</f>
        <v>0</v>
      </c>
      <c r="E126" s="30">
        <f>MIN(1,(A126=Inputs!$C$19)*Inputs!$D$19+(A126=Inputs!$C$20)*Inputs!$D$20+(A126=Inputs!$C$21)*Inputs!$D$21*(A126 &gt;= a_afil))</f>
        <v>0</v>
      </c>
      <c r="F126" s="30">
        <f t="shared" si="41"/>
        <v>0</v>
      </c>
      <c r="G126" s="30">
        <f t="shared" si="42"/>
        <v>0</v>
      </c>
      <c r="H126" s="30">
        <v>0.74234205484390259</v>
      </c>
      <c r="I126" s="37">
        <f t="shared" si="49"/>
        <v>0</v>
      </c>
      <c r="J126" s="37">
        <f t="shared" si="37"/>
        <v>0</v>
      </c>
      <c r="K126" s="30">
        <f>1*OR(Inputs!$D$17=$A126,Inputs!$E$17=$A126)*($E126=0)*(F126=1)</f>
        <v>0</v>
      </c>
      <c r="L126" s="30">
        <f>1*OR(Inputs!$D$17=$A126,Inputs!$E$17=$A126)*($E126=0)*(G126=1)</f>
        <v>0</v>
      </c>
      <c r="M126" s="73"/>
      <c r="N126" s="55"/>
      <c r="O126" s="55"/>
      <c r="P126" s="55"/>
      <c r="Q126" s="68">
        <f>MIN($B126,VLOOKUP($A126,Parámetros!$A$2:$J$122,8,FALSE)*UF)*12*I126*$X$2</f>
        <v>0</v>
      </c>
      <c r="R126" s="68">
        <f>MIN($B126,VLOOKUP($A126,Parámetros!$A$2:$J$122,8,FALSE)*UF)*12*J126*$X$2</f>
        <v>0</v>
      </c>
      <c r="S126" s="55">
        <f>MIN($B126,VLOOKUP($A126,Parámetros!$A$2:$J$122,10,FALSE)*UF)*12*I126*$X$3</f>
        <v>0</v>
      </c>
      <c r="T126" s="55">
        <f>MIN($B126,VLOOKUP($A126,Parámetros!$A$2:$J$122,10,FALSE)*UF)*12*J126*$X$3</f>
        <v>0</v>
      </c>
      <c r="U126" s="38"/>
      <c r="V126" s="38"/>
      <c r="W126" s="38"/>
      <c r="X126" s="38"/>
      <c r="Y126" s="38"/>
      <c r="Z126" s="54">
        <f t="shared" si="47"/>
        <v>0</v>
      </c>
      <c r="AA126" s="54">
        <f t="shared" si="48"/>
        <v>0</v>
      </c>
      <c r="AB126" s="55">
        <f t="shared" si="50"/>
        <v>0</v>
      </c>
      <c r="AC126" s="55">
        <f t="shared" si="51"/>
        <v>0</v>
      </c>
      <c r="AD126" s="33">
        <f>D126*mmater*Parámetros!$G113*$W$14+AD125*(1+i_noc)</f>
        <v>0</v>
      </c>
      <c r="AE126" s="33">
        <f>E126*12*Parámetros!$F113*$W$14+AE125*(1+i_noc)</f>
        <v>0</v>
      </c>
      <c r="AF126" s="33">
        <f>IFERROR(K126*$B126*VLOOKUP(n_mes_laguna,Parámetros!$Q$2:$S$42,3,FALSE)*$N$14,0)+AF125*(1+i_noc)</f>
        <v>0</v>
      </c>
      <c r="AG126" s="33">
        <f>IFERROR(L126*$B126*VLOOKUP(n_mes_laguna,Parámetros!$Q$2:$S$42,3,FALSE)*$N$14,0)+AG125*(1+i_noc)</f>
        <v>0</v>
      </c>
      <c r="AI126" s="74">
        <f t="shared" si="43"/>
        <v>0</v>
      </c>
      <c r="AJ126" s="74">
        <f t="shared" si="44"/>
        <v>0</v>
      </c>
      <c r="AK126" s="267">
        <f t="shared" si="45"/>
        <v>0</v>
      </c>
      <c r="AL126" s="267">
        <f t="shared" si="46"/>
        <v>0</v>
      </c>
      <c r="AM126" s="39"/>
      <c r="AN126" s="30"/>
      <c r="AO126" s="30"/>
      <c r="AP126" s="30"/>
    </row>
    <row r="127" spans="1:42" x14ac:dyDescent="0.25">
      <c r="A127" s="30">
        <v>2092</v>
      </c>
      <c r="B127" s="33">
        <f>w_uf*UF*Parámetros!C114</f>
        <v>2001523.1589236746</v>
      </c>
      <c r="C127" s="30" t="str">
        <f t="shared" si="40"/>
        <v/>
      </c>
      <c r="D127" s="30">
        <f>((A127=Inputs!$C$12)*(Inputs!$D$12) + (A127=Inputs!$C$13)*(Inputs!$D$13) + (A127=Inputs!$C$14)*(Inputs!$D$14)) *(A127 &gt;= a_afil)*(A127&gt;=2024)</f>
        <v>0</v>
      </c>
      <c r="E127" s="30">
        <f>MIN(1,(A127=Inputs!$C$19)*Inputs!$D$19+(A127=Inputs!$C$20)*Inputs!$D$20+(A127=Inputs!$C$21)*Inputs!$D$21*(A127 &gt;= a_afil))</f>
        <v>0</v>
      </c>
      <c r="F127" s="30">
        <f t="shared" si="41"/>
        <v>0</v>
      </c>
      <c r="G127" s="30">
        <f t="shared" si="42"/>
        <v>0</v>
      </c>
      <c r="H127" s="30">
        <v>0.84088706970214844</v>
      </c>
      <c r="I127" s="37">
        <f t="shared" si="49"/>
        <v>0</v>
      </c>
      <c r="J127" s="37">
        <f t="shared" si="37"/>
        <v>0</v>
      </c>
      <c r="K127" s="30">
        <f>1*OR(Inputs!$D$17=$A127,Inputs!$E$17=$A127)*($E127=0)*(F127=1)</f>
        <v>0</v>
      </c>
      <c r="L127" s="30">
        <f>1*OR(Inputs!$D$17=$A127,Inputs!$E$17=$A127)*($E127=0)*(G127=1)</f>
        <v>0</v>
      </c>
      <c r="M127" s="73"/>
      <c r="N127" s="55"/>
      <c r="O127" s="55"/>
      <c r="P127" s="55"/>
      <c r="Q127" s="68">
        <f>MIN($B127,VLOOKUP($A127,Parámetros!$A$2:$J$122,8,FALSE)*UF)*12*I127*$X$2</f>
        <v>0</v>
      </c>
      <c r="R127" s="68">
        <f>MIN($B127,VLOOKUP($A127,Parámetros!$A$2:$J$122,8,FALSE)*UF)*12*J127*$X$2</f>
        <v>0</v>
      </c>
      <c r="S127" s="55">
        <f>MIN($B127,VLOOKUP($A127,Parámetros!$A$2:$J$122,10,FALSE)*UF)*12*I127*$X$3</f>
        <v>0</v>
      </c>
      <c r="T127" s="55">
        <f>MIN($B127,VLOOKUP($A127,Parámetros!$A$2:$J$122,10,FALSE)*UF)*12*J127*$X$3</f>
        <v>0</v>
      </c>
      <c r="U127" s="38"/>
      <c r="V127" s="38"/>
      <c r="W127" s="38"/>
      <c r="X127" s="38"/>
      <c r="Y127" s="38"/>
      <c r="Z127" s="54">
        <f t="shared" si="47"/>
        <v>0</v>
      </c>
      <c r="AA127" s="54">
        <f t="shared" si="48"/>
        <v>0</v>
      </c>
      <c r="AB127" s="55">
        <f t="shared" si="50"/>
        <v>0</v>
      </c>
      <c r="AC127" s="55">
        <f t="shared" si="51"/>
        <v>0</v>
      </c>
      <c r="AD127" s="33">
        <f>D127*mmater*Parámetros!$G114*$W$14+AD126*(1+i_noc)</f>
        <v>0</v>
      </c>
      <c r="AE127" s="33">
        <f>E127*12*Parámetros!$F114*$W$14+AE126*(1+i_noc)</f>
        <v>0</v>
      </c>
      <c r="AF127" s="33">
        <f>IFERROR(K127*$B127*VLOOKUP(n_mes_laguna,Parámetros!$Q$2:$S$42,3,FALSE)*$N$14,0)+AF126*(1+i_noc)</f>
        <v>0</v>
      </c>
      <c r="AG127" s="33">
        <f>IFERROR(L127*$B127*VLOOKUP(n_mes_laguna,Parámetros!$Q$2:$S$42,3,FALSE)*$N$14,0)+AG126*(1+i_noc)</f>
        <v>0</v>
      </c>
      <c r="AI127" s="74">
        <f t="shared" si="43"/>
        <v>0</v>
      </c>
      <c r="AJ127" s="74">
        <f t="shared" si="44"/>
        <v>0</v>
      </c>
      <c r="AK127" s="267">
        <f t="shared" si="45"/>
        <v>0</v>
      </c>
      <c r="AL127" s="267">
        <f t="shared" si="46"/>
        <v>0</v>
      </c>
      <c r="AM127" s="39"/>
      <c r="AN127" s="30"/>
      <c r="AO127" s="30"/>
      <c r="AP127" s="30"/>
    </row>
    <row r="128" spans="1:42" x14ac:dyDescent="0.25">
      <c r="A128" s="30">
        <v>2093</v>
      </c>
      <c r="B128" s="33">
        <f>w_uf*UF*Parámetros!C115</f>
        <v>2026542.1984102204</v>
      </c>
      <c r="C128" s="30" t="str">
        <f t="shared" si="40"/>
        <v/>
      </c>
      <c r="D128" s="30">
        <f>((A128=Inputs!$C$12)*(Inputs!$D$12) + (A128=Inputs!$C$13)*(Inputs!$D$13) + (A128=Inputs!$C$14)*(Inputs!$D$14)) *(A128 &gt;= a_afil)*(A128&gt;=2024)</f>
        <v>0</v>
      </c>
      <c r="E128" s="30">
        <f>MIN(1,(A128=Inputs!$C$19)*Inputs!$D$19+(A128=Inputs!$C$20)*Inputs!$D$20+(A128=Inputs!$C$21)*Inputs!$D$21*(A128 &gt;= a_afil))</f>
        <v>0</v>
      </c>
      <c r="F128" s="30">
        <f t="shared" si="41"/>
        <v>0</v>
      </c>
      <c r="G128" s="30">
        <f t="shared" si="42"/>
        <v>0</v>
      </c>
      <c r="H128" s="30">
        <v>0.27858942747116089</v>
      </c>
      <c r="I128" s="37">
        <f t="shared" si="49"/>
        <v>0</v>
      </c>
      <c r="J128" s="37">
        <f t="shared" si="37"/>
        <v>0</v>
      </c>
      <c r="K128" s="30">
        <f>1*OR(Inputs!$D$17=$A128,Inputs!$E$17=$A128)*($E128=0)*(F128=1)</f>
        <v>0</v>
      </c>
      <c r="L128" s="30">
        <f>1*OR(Inputs!$D$17=$A128,Inputs!$E$17=$A128)*($E128=0)*(G128=1)</f>
        <v>0</v>
      </c>
      <c r="M128" s="73"/>
      <c r="N128" s="55"/>
      <c r="O128" s="55"/>
      <c r="P128" s="55"/>
      <c r="Q128" s="68">
        <f>MIN($B128,VLOOKUP($A128,Parámetros!$A$2:$J$122,8,FALSE)*UF)*12*I128*$X$2</f>
        <v>0</v>
      </c>
      <c r="R128" s="68">
        <f>MIN($B128,VLOOKUP($A128,Parámetros!$A$2:$J$122,8,FALSE)*UF)*12*J128*$X$2</f>
        <v>0</v>
      </c>
      <c r="S128" s="55">
        <f>MIN($B128,VLOOKUP($A128,Parámetros!$A$2:$J$122,10,FALSE)*UF)*12*I128*$X$3</f>
        <v>0</v>
      </c>
      <c r="T128" s="55">
        <f>MIN($B128,VLOOKUP($A128,Parámetros!$A$2:$J$122,10,FALSE)*UF)*12*J128*$X$3</f>
        <v>0</v>
      </c>
      <c r="U128" s="38"/>
      <c r="V128" s="38"/>
      <c r="W128" s="38"/>
      <c r="X128" s="38"/>
      <c r="Y128" s="38"/>
      <c r="Z128" s="54">
        <f t="shared" si="47"/>
        <v>0</v>
      </c>
      <c r="AA128" s="54">
        <f t="shared" si="48"/>
        <v>0</v>
      </c>
      <c r="AB128" s="55">
        <f t="shared" si="50"/>
        <v>0</v>
      </c>
      <c r="AC128" s="55">
        <f t="shared" si="51"/>
        <v>0</v>
      </c>
      <c r="AD128" s="33">
        <f>D128*mmater*Parámetros!$G115*$W$14+AD127*(1+i_noc)</f>
        <v>0</v>
      </c>
      <c r="AE128" s="33">
        <f>E128*12*Parámetros!$F115*$W$14+AE127*(1+i_noc)</f>
        <v>0</v>
      </c>
      <c r="AF128" s="33">
        <f>IFERROR(K128*$B128*VLOOKUP(n_mes_laguna,Parámetros!$Q$2:$S$42,3,FALSE)*$N$14,0)+AF127*(1+i_noc)</f>
        <v>0</v>
      </c>
      <c r="AG128" s="33">
        <f>IFERROR(L128*$B128*VLOOKUP(n_mes_laguna,Parámetros!$Q$2:$S$42,3,FALSE)*$N$14,0)+AG127*(1+i_noc)</f>
        <v>0</v>
      </c>
      <c r="AI128" s="74">
        <f t="shared" si="43"/>
        <v>0</v>
      </c>
      <c r="AJ128" s="74">
        <f t="shared" si="44"/>
        <v>0</v>
      </c>
      <c r="AK128" s="267">
        <f t="shared" si="45"/>
        <v>0</v>
      </c>
      <c r="AL128" s="267">
        <f t="shared" si="46"/>
        <v>0</v>
      </c>
      <c r="AM128" s="39"/>
      <c r="AN128" s="30"/>
      <c r="AO128" s="30"/>
      <c r="AP128" s="30"/>
    </row>
    <row r="129" spans="1:43" x14ac:dyDescent="0.25">
      <c r="A129" s="30">
        <v>2094</v>
      </c>
      <c r="B129" s="33">
        <f>w_uf*UF*Parámetros!C116</f>
        <v>2051873.9758903482</v>
      </c>
      <c r="C129" s="30" t="str">
        <f t="shared" si="40"/>
        <v/>
      </c>
      <c r="D129" s="30">
        <f>((A129=Inputs!$C$12)*(Inputs!$D$12) + (A129=Inputs!$C$13)*(Inputs!$D$13) + (A129=Inputs!$C$14)*(Inputs!$D$14)) *(A129 &gt;= a_afil)*(A129&gt;=2024)</f>
        <v>0</v>
      </c>
      <c r="E129" s="30">
        <f>MIN(1,(A129=Inputs!$C$19)*Inputs!$D$19+(A129=Inputs!$C$20)*Inputs!$D$20+(A129=Inputs!$C$21)*Inputs!$D$21*(A129 &gt;= a_afil))</f>
        <v>0</v>
      </c>
      <c r="F129" s="30">
        <f t="shared" si="41"/>
        <v>0</v>
      </c>
      <c r="G129" s="30">
        <f t="shared" si="42"/>
        <v>0</v>
      </c>
      <c r="H129" s="30">
        <v>0.70297014713287354</v>
      </c>
      <c r="I129" s="37">
        <f t="shared" si="49"/>
        <v>0</v>
      </c>
      <c r="J129" s="37">
        <f t="shared" si="37"/>
        <v>0</v>
      </c>
      <c r="K129" s="30">
        <f>1*OR(Inputs!$D$17=$A129,Inputs!$E$17=$A129)*($E129=0)*(F129=1)</f>
        <v>0</v>
      </c>
      <c r="L129" s="30">
        <f>1*OR(Inputs!$D$17=$A129,Inputs!$E$17=$A129)*($E129=0)*(G129=1)</f>
        <v>0</v>
      </c>
      <c r="M129" s="73"/>
      <c r="N129" s="55"/>
      <c r="O129" s="55"/>
      <c r="P129" s="55"/>
      <c r="Q129" s="68">
        <f>MIN($B129,VLOOKUP($A129,Parámetros!$A$2:$J$122,8,FALSE)*UF)*12*I129*$X$2</f>
        <v>0</v>
      </c>
      <c r="R129" s="68">
        <f>MIN($B129,VLOOKUP($A129,Parámetros!$A$2:$J$122,8,FALSE)*UF)*12*J129*$X$2</f>
        <v>0</v>
      </c>
      <c r="S129" s="55">
        <f>MIN($B129,VLOOKUP($A129,Parámetros!$A$2:$J$122,10,FALSE)*UF)*12*I129*$X$3</f>
        <v>0</v>
      </c>
      <c r="T129" s="55">
        <f>MIN($B129,VLOOKUP($A129,Parámetros!$A$2:$J$122,10,FALSE)*UF)*12*J129*$X$3</f>
        <v>0</v>
      </c>
      <c r="U129" s="38"/>
      <c r="V129" s="38"/>
      <c r="W129" s="38"/>
      <c r="X129" s="38"/>
      <c r="Y129" s="38"/>
      <c r="Z129" s="54">
        <f t="shared" si="47"/>
        <v>0</v>
      </c>
      <c r="AA129" s="54">
        <f t="shared" si="48"/>
        <v>0</v>
      </c>
      <c r="AB129" s="55">
        <f t="shared" si="50"/>
        <v>0</v>
      </c>
      <c r="AC129" s="55">
        <f t="shared" si="51"/>
        <v>0</v>
      </c>
      <c r="AD129" s="33">
        <f>D129*mmater*Parámetros!$G116*$W$14+AD128*(1+i_noc)</f>
        <v>0</v>
      </c>
      <c r="AE129" s="33">
        <f>E129*12*Parámetros!$F116*$W$14+AE128*(1+i_noc)</f>
        <v>0</v>
      </c>
      <c r="AF129" s="33">
        <f>IFERROR(K129*$B129*VLOOKUP(n_mes_laguna,Parámetros!$Q$2:$S$42,3,FALSE)*$N$14,0)+AF128*(1+i_noc)</f>
        <v>0</v>
      </c>
      <c r="AG129" s="33">
        <f>IFERROR(L129*$B129*VLOOKUP(n_mes_laguna,Parámetros!$Q$2:$S$42,3,FALSE)*$N$14,0)+AG128*(1+i_noc)</f>
        <v>0</v>
      </c>
      <c r="AI129" s="74">
        <f t="shared" si="43"/>
        <v>0</v>
      </c>
      <c r="AJ129" s="74">
        <f t="shared" si="44"/>
        <v>0</v>
      </c>
      <c r="AK129" s="267">
        <f t="shared" si="45"/>
        <v>0</v>
      </c>
      <c r="AL129" s="267">
        <f t="shared" si="46"/>
        <v>0</v>
      </c>
      <c r="AM129" s="39"/>
      <c r="AN129" s="30"/>
      <c r="AO129" s="30"/>
      <c r="AP129" s="30"/>
    </row>
    <row r="130" spans="1:43" x14ac:dyDescent="0.25">
      <c r="A130" s="30">
        <v>2095</v>
      </c>
      <c r="B130" s="33">
        <f>w_uf*UF*Parámetros!C117</f>
        <v>2077522.4005889776</v>
      </c>
      <c r="C130" s="30" t="str">
        <f t="shared" si="40"/>
        <v/>
      </c>
      <c r="D130" s="30">
        <f>((A130=Inputs!$C$12)*(Inputs!$D$12) + (A130=Inputs!$C$13)*(Inputs!$D$13) + (A130=Inputs!$C$14)*(Inputs!$D$14)) *(A130 &gt;= a_afil)*(A130&gt;=2024)</f>
        <v>0</v>
      </c>
      <c r="E130" s="30">
        <f>MIN(1,(A130=Inputs!$C$19)*Inputs!$D$19+(A130=Inputs!$C$20)*Inputs!$D$20+(A130=Inputs!$C$21)*Inputs!$D$21*(A130 &gt;= a_afil))</f>
        <v>0</v>
      </c>
      <c r="F130" s="30">
        <f t="shared" si="41"/>
        <v>0</v>
      </c>
      <c r="G130" s="30">
        <f t="shared" si="42"/>
        <v>0</v>
      </c>
      <c r="H130" s="30">
        <v>0.4048646092414856</v>
      </c>
      <c r="I130" s="37">
        <f t="shared" si="49"/>
        <v>0</v>
      </c>
      <c r="J130" s="37">
        <f t="shared" si="37"/>
        <v>0</v>
      </c>
      <c r="K130" s="30">
        <f>1*OR(Inputs!$D$17=$A130,Inputs!$E$17=$A130)*($E130=0)*(F130=1)</f>
        <v>0</v>
      </c>
      <c r="L130" s="30">
        <f>1*OR(Inputs!$D$17=$A130,Inputs!$E$17=$A130)*($E130=0)*(G130=1)</f>
        <v>0</v>
      </c>
      <c r="M130" s="73"/>
      <c r="N130" s="55"/>
      <c r="O130" s="55"/>
      <c r="P130" s="55"/>
      <c r="Q130" s="68">
        <f>MIN($B130,VLOOKUP($A130,Parámetros!$A$2:$J$122,8,FALSE)*UF)*12*I130*$X$2</f>
        <v>0</v>
      </c>
      <c r="R130" s="68">
        <f>MIN($B130,VLOOKUP($A130,Parámetros!$A$2:$J$122,8,FALSE)*UF)*12*J130*$X$2</f>
        <v>0</v>
      </c>
      <c r="S130" s="55">
        <f>MIN($B130,VLOOKUP($A130,Parámetros!$A$2:$J$122,10,FALSE)*UF)*12*I130*$X$3</f>
        <v>0</v>
      </c>
      <c r="T130" s="55">
        <f>MIN($B130,VLOOKUP($A130,Parámetros!$A$2:$J$122,10,FALSE)*UF)*12*J130*$X$3</f>
        <v>0</v>
      </c>
      <c r="U130" s="38"/>
      <c r="V130" s="38"/>
      <c r="W130" s="38"/>
      <c r="X130" s="38"/>
      <c r="Y130" s="38"/>
      <c r="Z130" s="54">
        <f t="shared" si="47"/>
        <v>0</v>
      </c>
      <c r="AA130" s="54">
        <f t="shared" si="48"/>
        <v>0</v>
      </c>
      <c r="AB130" s="55">
        <f t="shared" si="50"/>
        <v>0</v>
      </c>
      <c r="AC130" s="55">
        <f t="shared" si="51"/>
        <v>0</v>
      </c>
      <c r="AD130" s="33">
        <f>D130*mmater*Parámetros!$G117*$W$14+AD129*(1+i_noc)</f>
        <v>0</v>
      </c>
      <c r="AE130" s="33">
        <f>E130*12*Parámetros!$F117*$W$14+AE129*(1+i_noc)</f>
        <v>0</v>
      </c>
      <c r="AF130" s="33">
        <f>IFERROR(K130*$B130*VLOOKUP(n_mes_laguna,Parámetros!$Q$2:$S$42,3,FALSE)*$N$14,0)+AF129*(1+i_noc)</f>
        <v>0</v>
      </c>
      <c r="AG130" s="33">
        <f>IFERROR(L130*$B130*VLOOKUP(n_mes_laguna,Parámetros!$Q$2:$S$42,3,FALSE)*$N$14,0)+AG129*(1+i_noc)</f>
        <v>0</v>
      </c>
      <c r="AI130" s="74">
        <f t="shared" si="43"/>
        <v>0</v>
      </c>
      <c r="AJ130" s="74">
        <f t="shared" si="44"/>
        <v>0</v>
      </c>
      <c r="AK130" s="267">
        <f t="shared" si="45"/>
        <v>0</v>
      </c>
      <c r="AL130" s="267">
        <f t="shared" si="46"/>
        <v>0</v>
      </c>
      <c r="AM130" s="39"/>
      <c r="AN130" s="30"/>
      <c r="AO130" s="30"/>
      <c r="AP130" s="30"/>
    </row>
    <row r="131" spans="1:43" x14ac:dyDescent="0.25">
      <c r="A131" s="30">
        <v>2096</v>
      </c>
      <c r="B131" s="33">
        <f>w_uf*UF*Parámetros!C118</f>
        <v>2103491.4305963395</v>
      </c>
      <c r="C131" s="30" t="str">
        <f t="shared" si="40"/>
        <v/>
      </c>
      <c r="D131" s="30">
        <f>((A131=Inputs!$C$12)*(Inputs!$D$12) + (A131=Inputs!$C$13)*(Inputs!$D$13) + (A131=Inputs!$C$14)*(Inputs!$D$14)) *(A131 &gt;= a_afil)*(A131&gt;=2024)</f>
        <v>0</v>
      </c>
      <c r="E131" s="30">
        <f>MIN(1,(A131=Inputs!$C$19)*Inputs!$D$19+(A131=Inputs!$C$20)*Inputs!$D$20+(A131=Inputs!$C$21)*Inputs!$D$21*(A131 &gt;= a_afil))</f>
        <v>0</v>
      </c>
      <c r="F131" s="30">
        <f t="shared" si="41"/>
        <v>0</v>
      </c>
      <c r="G131" s="30">
        <f t="shared" si="42"/>
        <v>0</v>
      </c>
      <c r="H131" s="30">
        <v>0.81157135963439941</v>
      </c>
      <c r="I131" s="37">
        <f t="shared" si="49"/>
        <v>0</v>
      </c>
      <c r="J131" s="37">
        <f t="shared" si="37"/>
        <v>0</v>
      </c>
      <c r="K131" s="30">
        <f>1*OR(Inputs!$D$17=$A131,Inputs!$E$17=$A131)*($E131=0)*(F131=1)</f>
        <v>0</v>
      </c>
      <c r="L131" s="30">
        <f>1*OR(Inputs!$D$17=$A131,Inputs!$E$17=$A131)*($E131=0)*(G131=1)</f>
        <v>0</v>
      </c>
      <c r="M131" s="73"/>
      <c r="N131" s="55"/>
      <c r="O131" s="55"/>
      <c r="P131" s="55"/>
      <c r="Q131" s="68">
        <f>MIN($B131,VLOOKUP($A131,Parámetros!$A$2:$J$122,8,FALSE)*UF)*12*I131*$X$2</f>
        <v>0</v>
      </c>
      <c r="R131" s="68">
        <f>MIN($B131,VLOOKUP($A131,Parámetros!$A$2:$J$122,8,FALSE)*UF)*12*J131*$X$2</f>
        <v>0</v>
      </c>
      <c r="S131" s="55">
        <f>MIN($B131,VLOOKUP($A131,Parámetros!$A$2:$J$122,10,FALSE)*UF)*12*I131*$X$3</f>
        <v>0</v>
      </c>
      <c r="T131" s="55">
        <f>MIN($B131,VLOOKUP($A131,Parámetros!$A$2:$J$122,10,FALSE)*UF)*12*J131*$X$3</f>
        <v>0</v>
      </c>
      <c r="U131" s="38"/>
      <c r="V131" s="38"/>
      <c r="W131" s="38"/>
      <c r="X131" s="38"/>
      <c r="Y131" s="38"/>
      <c r="Z131" s="54">
        <f t="shared" si="47"/>
        <v>0</v>
      </c>
      <c r="AA131" s="54">
        <f t="shared" si="48"/>
        <v>0</v>
      </c>
      <c r="AB131" s="55">
        <f t="shared" si="50"/>
        <v>0</v>
      </c>
      <c r="AC131" s="55">
        <f t="shared" si="51"/>
        <v>0</v>
      </c>
      <c r="AD131" s="33">
        <f>D131*mmater*Parámetros!$G118*$W$14+AD130*(1+i_noc)</f>
        <v>0</v>
      </c>
      <c r="AE131" s="33">
        <f>E131*12*Parámetros!$F118*$W$14+AE130*(1+i_noc)</f>
        <v>0</v>
      </c>
      <c r="AF131" s="33">
        <f>IFERROR(K131*$B131*VLOOKUP(n_mes_laguna,Parámetros!$Q$2:$S$42,3,FALSE)*$N$14,0)+AF130*(1+i_noc)</f>
        <v>0</v>
      </c>
      <c r="AG131" s="33">
        <f>IFERROR(L131*$B131*VLOOKUP(n_mes_laguna,Parámetros!$Q$2:$S$42,3,FALSE)*$N$14,0)+AG130*(1+i_noc)</f>
        <v>0</v>
      </c>
      <c r="AI131" s="74">
        <f t="shared" si="43"/>
        <v>0</v>
      </c>
      <c r="AJ131" s="74">
        <f t="shared" si="44"/>
        <v>0</v>
      </c>
      <c r="AK131" s="267">
        <f t="shared" si="45"/>
        <v>0</v>
      </c>
      <c r="AL131" s="267">
        <f t="shared" si="46"/>
        <v>0</v>
      </c>
      <c r="AM131" s="39"/>
      <c r="AN131" s="30"/>
      <c r="AO131" s="30"/>
      <c r="AP131" s="30"/>
    </row>
    <row r="132" spans="1:43" x14ac:dyDescent="0.25">
      <c r="A132" s="30">
        <v>2097</v>
      </c>
      <c r="B132" s="33">
        <f>w_uf*UF*Parámetros!C119</f>
        <v>2129785.0734787937</v>
      </c>
      <c r="C132" s="30" t="str">
        <f t="shared" si="40"/>
        <v/>
      </c>
      <c r="D132" s="30">
        <f>((A132=Inputs!$C$12)*(Inputs!$D$12) + (A132=Inputs!$C$13)*(Inputs!$D$13) + (A132=Inputs!$C$14)*(Inputs!$D$14)) *(A132 &gt;= a_afil)*(A132&gt;=2024)</f>
        <v>0</v>
      </c>
      <c r="E132" s="30">
        <f>MIN(1,(A132=Inputs!$C$19)*Inputs!$D$19+(A132=Inputs!$C$20)*Inputs!$D$20+(A132=Inputs!$C$21)*Inputs!$D$21*(A132 &gt;= a_afil))</f>
        <v>0</v>
      </c>
      <c r="F132" s="30">
        <f t="shared" si="41"/>
        <v>0</v>
      </c>
      <c r="G132" s="30">
        <f t="shared" si="42"/>
        <v>0</v>
      </c>
      <c r="H132" s="30">
        <v>0.74178069829940796</v>
      </c>
      <c r="I132" s="37">
        <f t="shared" si="49"/>
        <v>0</v>
      </c>
      <c r="J132" s="37">
        <f t="shared" si="37"/>
        <v>0</v>
      </c>
      <c r="K132" s="30">
        <f>1*OR(Inputs!$D$17=$A132,Inputs!$E$17=$A132)*($E132=0)*(F132=1)</f>
        <v>0</v>
      </c>
      <c r="L132" s="30">
        <f>1*OR(Inputs!$D$17=$A132,Inputs!$E$17=$A132)*($E132=0)*(G132=1)</f>
        <v>0</v>
      </c>
      <c r="M132" s="73"/>
      <c r="N132" s="55"/>
      <c r="O132" s="55"/>
      <c r="P132" s="55"/>
      <c r="Q132" s="68">
        <f>MIN($B132,VLOOKUP($A132,Parámetros!$A$2:$J$122,8,FALSE)*UF)*12*I132*$X$2</f>
        <v>0</v>
      </c>
      <c r="R132" s="68">
        <f>MIN($B132,VLOOKUP($A132,Parámetros!$A$2:$J$122,8,FALSE)*UF)*12*J132*$X$2</f>
        <v>0</v>
      </c>
      <c r="S132" s="55">
        <f>MIN($B132,VLOOKUP($A132,Parámetros!$A$2:$J$122,10,FALSE)*UF)*12*I132*$X$3</f>
        <v>0</v>
      </c>
      <c r="T132" s="55">
        <f>MIN($B132,VLOOKUP($A132,Parámetros!$A$2:$J$122,10,FALSE)*UF)*12*J132*$X$3</f>
        <v>0</v>
      </c>
      <c r="U132" s="38"/>
      <c r="V132" s="38"/>
      <c r="W132" s="38"/>
      <c r="X132" s="38"/>
      <c r="Y132" s="38"/>
      <c r="Z132" s="54">
        <f t="shared" si="47"/>
        <v>0</v>
      </c>
      <c r="AA132" s="54">
        <f t="shared" si="48"/>
        <v>0</v>
      </c>
      <c r="AB132" s="55">
        <f t="shared" si="50"/>
        <v>0</v>
      </c>
      <c r="AC132" s="55">
        <f t="shared" si="51"/>
        <v>0</v>
      </c>
      <c r="AD132" s="33">
        <f>D132*mmater*Parámetros!$G119*$W$14+AD131*(1+i_noc)</f>
        <v>0</v>
      </c>
      <c r="AE132" s="33">
        <f>E132*12*Parámetros!$F119*$W$14+AE131*(1+i_noc)</f>
        <v>0</v>
      </c>
      <c r="AF132" s="33">
        <f>IFERROR(K132*$B132*VLOOKUP(n_mes_laguna,Parámetros!$Q$2:$S$42,3,FALSE)*$N$14,0)+AF131*(1+i_noc)</f>
        <v>0</v>
      </c>
      <c r="AG132" s="33">
        <f>IFERROR(L132*$B132*VLOOKUP(n_mes_laguna,Parámetros!$Q$2:$S$42,3,FALSE)*$N$14,0)+AG131*(1+i_noc)</f>
        <v>0</v>
      </c>
      <c r="AI132" s="74">
        <f t="shared" si="43"/>
        <v>0</v>
      </c>
      <c r="AJ132" s="74">
        <f t="shared" si="44"/>
        <v>0</v>
      </c>
      <c r="AK132" s="267">
        <f t="shared" si="45"/>
        <v>0</v>
      </c>
      <c r="AL132" s="267">
        <f t="shared" si="46"/>
        <v>0</v>
      </c>
      <c r="AM132" s="39"/>
      <c r="AN132" s="30"/>
      <c r="AO132" s="30"/>
      <c r="AP132" s="30"/>
    </row>
    <row r="133" spans="1:43" x14ac:dyDescent="0.25">
      <c r="A133" s="30">
        <v>2098</v>
      </c>
      <c r="B133" s="33">
        <f>w_uf*UF*Parámetros!C120</f>
        <v>2156407.3868972789</v>
      </c>
      <c r="C133" s="30" t="str">
        <f t="shared" si="40"/>
        <v/>
      </c>
      <c r="D133" s="30">
        <f>((A133=Inputs!$C$12)*(Inputs!$D$12) + (A133=Inputs!$C$13)*(Inputs!$D$13) + (A133=Inputs!$C$14)*(Inputs!$D$14)) *(A133 &gt;= a_afil)*(A133&gt;=2024)</f>
        <v>0</v>
      </c>
      <c r="E133" s="30">
        <f>MIN(1,(A133=Inputs!$C$19)*Inputs!$D$19+(A133=Inputs!$C$20)*Inputs!$D$20+(A133=Inputs!$C$21)*Inputs!$D$21*(A133 &gt;= a_afil))</f>
        <v>0</v>
      </c>
      <c r="F133" s="30">
        <f t="shared" si="41"/>
        <v>0</v>
      </c>
      <c r="G133" s="30">
        <f t="shared" si="42"/>
        <v>0</v>
      </c>
      <c r="H133" s="30">
        <v>0.43766391277313232</v>
      </c>
      <c r="I133" s="37">
        <f t="shared" si="49"/>
        <v>0</v>
      </c>
      <c r="J133" s="37">
        <f t="shared" si="37"/>
        <v>0</v>
      </c>
      <c r="K133" s="30">
        <f>1*OR(Inputs!$D$17=$A133,Inputs!$E$17=$A133)*($E133=0)*(F133=1)</f>
        <v>0</v>
      </c>
      <c r="L133" s="30">
        <f>1*OR(Inputs!$D$17=$A133,Inputs!$E$17=$A133)*($E133=0)*(G133=1)</f>
        <v>0</v>
      </c>
      <c r="M133" s="73"/>
      <c r="N133" s="55"/>
      <c r="O133" s="55"/>
      <c r="P133" s="55"/>
      <c r="Q133" s="68">
        <f>MIN($B133,VLOOKUP($A133,Parámetros!$A$2:$J$122,8,FALSE)*UF)*12*I133*$X$2</f>
        <v>0</v>
      </c>
      <c r="R133" s="68">
        <f>MIN($B133,VLOOKUP($A133,Parámetros!$A$2:$J$122,8,FALSE)*UF)*12*J133*$X$2</f>
        <v>0</v>
      </c>
      <c r="S133" s="55">
        <f>MIN($B133,VLOOKUP($A133,Parámetros!$A$2:$J$122,10,FALSE)*UF)*12*I133*$X$3</f>
        <v>0</v>
      </c>
      <c r="T133" s="55">
        <f>MIN($B133,VLOOKUP($A133,Parámetros!$A$2:$J$122,10,FALSE)*UF)*12*J133*$X$3</f>
        <v>0</v>
      </c>
      <c r="U133" s="38"/>
      <c r="V133" s="38"/>
      <c r="W133" s="38"/>
      <c r="X133" s="38"/>
      <c r="Y133" s="38"/>
      <c r="Z133" s="54">
        <f t="shared" si="47"/>
        <v>0</v>
      </c>
      <c r="AA133" s="54">
        <f t="shared" si="48"/>
        <v>0</v>
      </c>
      <c r="AB133" s="55">
        <f t="shared" si="50"/>
        <v>0</v>
      </c>
      <c r="AC133" s="55">
        <f t="shared" si="51"/>
        <v>0</v>
      </c>
      <c r="AD133" s="33">
        <f>D133*mmater*Parámetros!$G120*$W$14+AD132*(1+i_noc)</f>
        <v>0</v>
      </c>
      <c r="AE133" s="33">
        <f>E133*12*Parámetros!$F120*$W$14+AE132*(1+i_noc)</f>
        <v>0</v>
      </c>
      <c r="AF133" s="33">
        <f>IFERROR(K133*$B133*VLOOKUP(n_mes_laguna,Parámetros!$Q$2:$S$42,3,FALSE)*$N$14,0)+AF132*(1+i_noc)</f>
        <v>0</v>
      </c>
      <c r="AG133" s="33">
        <f>IFERROR(L133*$B133*VLOOKUP(n_mes_laguna,Parámetros!$Q$2:$S$42,3,FALSE)*$N$14,0)+AG132*(1+i_noc)</f>
        <v>0</v>
      </c>
      <c r="AI133" s="74">
        <f t="shared" si="43"/>
        <v>0</v>
      </c>
      <c r="AJ133" s="74">
        <f t="shared" si="44"/>
        <v>0</v>
      </c>
      <c r="AK133" s="267">
        <f t="shared" si="45"/>
        <v>0</v>
      </c>
      <c r="AL133" s="267">
        <f t="shared" si="46"/>
        <v>0</v>
      </c>
      <c r="AM133" s="39"/>
      <c r="AN133" s="30"/>
      <c r="AO133" s="30"/>
      <c r="AP133" s="30"/>
    </row>
    <row r="134" spans="1:43" x14ac:dyDescent="0.25">
      <c r="A134" s="30">
        <v>2099</v>
      </c>
      <c r="B134" s="33">
        <f>w_uf*UF*Parámetros!C121</f>
        <v>2183362.4792334945</v>
      </c>
      <c r="C134" s="30" t="str">
        <f t="shared" si="40"/>
        <v/>
      </c>
      <c r="D134" s="30">
        <f>((A134=Inputs!$C$12)*(Inputs!$D$12) + (A134=Inputs!$C$13)*(Inputs!$D$13) + (A134=Inputs!$C$14)*(Inputs!$D$14)) *(A134 &gt;= a_afil)*(A134&gt;=2024)</f>
        <v>0</v>
      </c>
      <c r="E134" s="30">
        <f>MIN(1,(A134=Inputs!$C$19)*Inputs!$D$19+(A134=Inputs!$C$20)*Inputs!$D$20+(A134=Inputs!$C$21)*Inputs!$D$21*(A134 &gt;= a_afil))</f>
        <v>0</v>
      </c>
      <c r="F134" s="30">
        <f t="shared" si="41"/>
        <v>0</v>
      </c>
      <c r="G134" s="30">
        <f t="shared" si="42"/>
        <v>0</v>
      </c>
      <c r="H134" s="30">
        <v>7.7980577945709229E-2</v>
      </c>
      <c r="I134" s="37">
        <f t="shared" si="49"/>
        <v>0</v>
      </c>
      <c r="J134" s="37">
        <f t="shared" si="37"/>
        <v>0</v>
      </c>
      <c r="K134" s="30">
        <f>1*OR(Inputs!$D$17=$A134,Inputs!$E$17=$A134)*($E134=0)*(F134=1)</f>
        <v>0</v>
      </c>
      <c r="L134" s="30">
        <f>1*OR(Inputs!$D$17=$A134,Inputs!$E$17=$A134)*($E134=0)*(G134=1)</f>
        <v>0</v>
      </c>
      <c r="M134" s="73"/>
      <c r="N134" s="55"/>
      <c r="O134" s="55"/>
      <c r="P134" s="55"/>
      <c r="Q134" s="68">
        <f>MIN($B134,VLOOKUP($A134,Parámetros!$A$2:$J$122,8,FALSE)*UF)*12*I134*$X$2</f>
        <v>0</v>
      </c>
      <c r="R134" s="68">
        <f>MIN($B134,VLOOKUP($A134,Parámetros!$A$2:$J$122,8,FALSE)*UF)*12*J134*$X$2</f>
        <v>0</v>
      </c>
      <c r="S134" s="55">
        <f>MIN($B134,VLOOKUP($A134,Parámetros!$A$2:$J$122,10,FALSE)*UF)*12*I134*$X$3</f>
        <v>0</v>
      </c>
      <c r="T134" s="55">
        <f>MIN($B134,VLOOKUP($A134,Parámetros!$A$2:$J$122,10,FALSE)*UF)*12*J134*$X$3</f>
        <v>0</v>
      </c>
      <c r="U134" s="38"/>
      <c r="V134" s="38"/>
      <c r="W134" s="38"/>
      <c r="X134" s="38"/>
      <c r="Y134" s="38"/>
      <c r="Z134" s="54">
        <f t="shared" si="47"/>
        <v>0</v>
      </c>
      <c r="AA134" s="54">
        <f t="shared" si="48"/>
        <v>0</v>
      </c>
      <c r="AB134" s="55">
        <f t="shared" si="50"/>
        <v>0</v>
      </c>
      <c r="AC134" s="55">
        <f t="shared" si="51"/>
        <v>0</v>
      </c>
      <c r="AD134" s="33">
        <f>D134*mmater*Parámetros!$G121*$W$14+AD133*(1+i_noc)</f>
        <v>0</v>
      </c>
      <c r="AE134" s="33">
        <f>E134*12*Parámetros!$F121*$W$14+AE133*(1+i_noc)</f>
        <v>0</v>
      </c>
      <c r="AF134" s="33">
        <f>IFERROR(K134*$B134*VLOOKUP(n_mes_laguna,Parámetros!$Q$2:$S$42,3,FALSE)*$N$14,0)+AF133*(1+i_noc)</f>
        <v>0</v>
      </c>
      <c r="AG134" s="33">
        <f>IFERROR(L134*$B134*VLOOKUP(n_mes_laguna,Parámetros!$Q$2:$S$42,3,FALSE)*$N$14,0)+AG133*(1+i_noc)</f>
        <v>0</v>
      </c>
      <c r="AI134" s="74">
        <f t="shared" si="43"/>
        <v>0</v>
      </c>
      <c r="AJ134" s="74">
        <f t="shared" si="44"/>
        <v>0</v>
      </c>
      <c r="AK134" s="267">
        <f t="shared" si="45"/>
        <v>0</v>
      </c>
      <c r="AL134" s="267">
        <f t="shared" si="46"/>
        <v>0</v>
      </c>
      <c r="AM134" s="39"/>
      <c r="AN134" s="30"/>
      <c r="AO134" s="30"/>
      <c r="AP134" s="30"/>
    </row>
    <row r="135" spans="1:43" x14ac:dyDescent="0.25">
      <c r="A135" s="30">
        <v>2100</v>
      </c>
      <c r="B135" s="33">
        <f>w_uf*UF*Parámetros!C122/Parámetros!$C$46</f>
        <v>2210654.510223913</v>
      </c>
      <c r="C135" s="30" t="str">
        <f t="shared" si="40"/>
        <v/>
      </c>
      <c r="D135" s="30">
        <f>((A135=Inputs!$C$12)*(Inputs!$D$12) + (A135=Inputs!$C$13)*(Inputs!$D$13) + (A135=Inputs!$C$14)*(Inputs!$D$14)) *(A135 &gt;= a_afil)*(A135&gt;=2024)</f>
        <v>0</v>
      </c>
      <c r="E135" s="30">
        <f>MIN(1,(A135=Inputs!$C$19)*Inputs!$D$19+(A135=Inputs!$C$20)*Inputs!$D$20+(A135=Inputs!$C$21)*Inputs!$D$21*(A135 &gt;= a_afil))</f>
        <v>0</v>
      </c>
      <c r="F135" s="30">
        <f xml:space="preserve"> (C135&lt;edad_ret_h) * (A135&gt;=a_afil)</f>
        <v>0</v>
      </c>
      <c r="G135" s="30">
        <f xml:space="preserve"> (C135&lt;edad_ret_m) * (A135&gt;=a_afil)</f>
        <v>0</v>
      </c>
      <c r="H135" s="30">
        <v>0.41063165664672852</v>
      </c>
      <c r="I135" s="37">
        <f>IF(F135=1,+dens_cot,0)</f>
        <v>0</v>
      </c>
      <c r="J135" s="37">
        <f>IF(G135=1,+dens_mujer,0)</f>
        <v>0</v>
      </c>
      <c r="K135" s="30">
        <f>1*OR(Inputs!$D$17=$A135,Inputs!$E$17=$A135)*($E135=0)*(F135=1)</f>
        <v>0</v>
      </c>
      <c r="L135" s="30">
        <f>1*OR(Inputs!$D$17=$A135,Inputs!$E$17=$A135)*($E135=0)*(G135=1)</f>
        <v>0</v>
      </c>
      <c r="M135" s="73"/>
      <c r="N135" s="55"/>
      <c r="O135" s="55"/>
      <c r="P135" s="55"/>
      <c r="Q135" s="68">
        <f>MIN($B135,VLOOKUP($A135,Parámetros!$A$2:$J$122,8,FALSE)*UF)*12*I135*$X$2</f>
        <v>0</v>
      </c>
      <c r="R135" s="68">
        <f>MIN($B135,VLOOKUP($A135,Parámetros!$A$2:$J$122,8,FALSE)*UF)*12*J135*$X$2</f>
        <v>0</v>
      </c>
      <c r="S135" s="55">
        <f>MIN($B135,VLOOKUP($A135,Parámetros!$A$2:$J$122,8,FALSE)*UF)*12*I135*$X$3</f>
        <v>0</v>
      </c>
      <c r="T135" s="55">
        <f>MIN($B135,VLOOKUP($A135,Parámetros!$A$2:$J$122,8,FALSE)*UF)*12*J135*$X$3</f>
        <v>0</v>
      </c>
      <c r="U135" s="38"/>
      <c r="V135" s="38"/>
      <c r="W135" s="38"/>
      <c r="X135" s="38"/>
      <c r="Y135" s="38"/>
      <c r="Z135" s="54">
        <f t="shared" si="47"/>
        <v>0</v>
      </c>
      <c r="AA135" s="54">
        <f t="shared" si="48"/>
        <v>0</v>
      </c>
      <c r="AB135" s="55">
        <f t="shared" si="50"/>
        <v>0</v>
      </c>
      <c r="AC135" s="55">
        <f t="shared" si="51"/>
        <v>0</v>
      </c>
      <c r="AD135" s="33">
        <f>D135*mmater*Parámetros!$G122*$W$14+AD134*(1+i_noc)</f>
        <v>0</v>
      </c>
      <c r="AE135" s="33">
        <f>E135*12*Parámetros!$F122*$W$14+AE134*(1+i_noc)</f>
        <v>0</v>
      </c>
      <c r="AF135" s="33">
        <f>IFERROR(K135*$B135*VLOOKUP(n_mes_laguna,Parámetros!$Q$2:$S$42,3,FALSE)*$N$14,0)+AF134*(1+i_noc)</f>
        <v>0</v>
      </c>
      <c r="AG135" s="33">
        <f>IFERROR(L135*$B135*VLOOKUP(n_mes_laguna,Parámetros!$Q$2:$S$42,3,FALSE)*$N$14,0)+AG134*(1+i_noc)</f>
        <v>0</v>
      </c>
      <c r="AI135" s="74">
        <f t="shared" si="43"/>
        <v>0</v>
      </c>
      <c r="AJ135" s="74">
        <f t="shared" si="44"/>
        <v>0</v>
      </c>
      <c r="AK135" s="267">
        <f t="shared" si="45"/>
        <v>0</v>
      </c>
      <c r="AL135" s="267">
        <f t="shared" si="46"/>
        <v>0</v>
      </c>
      <c r="AM135" s="39"/>
      <c r="AN135" s="30"/>
      <c r="AO135" s="30"/>
      <c r="AP135" s="30"/>
    </row>
    <row r="136" spans="1:43" x14ac:dyDescent="0.25">
      <c r="AI136" s="33"/>
      <c r="AJ136" s="33"/>
      <c r="AM136" s="30"/>
      <c r="AN136" s="30"/>
      <c r="AO136" s="30"/>
      <c r="AP136" s="30"/>
    </row>
    <row r="137" spans="1:43" x14ac:dyDescent="0.25">
      <c r="AQ137" s="65"/>
    </row>
    <row r="138" spans="1:43" x14ac:dyDescent="0.25">
      <c r="AQ138" s="65"/>
    </row>
    <row r="139" spans="1:43" x14ac:dyDescent="0.25">
      <c r="AO139" s="30"/>
      <c r="AP139" s="30"/>
    </row>
    <row r="140" spans="1:43" x14ac:dyDescent="0.25">
      <c r="AO140" s="30"/>
      <c r="AP140" s="30"/>
    </row>
    <row r="141" spans="1:43" x14ac:dyDescent="0.25">
      <c r="AO141" s="30"/>
      <c r="AP141" s="30"/>
    </row>
    <row r="142" spans="1:43" x14ac:dyDescent="0.25">
      <c r="AO142" s="30"/>
      <c r="AP142" s="30"/>
    </row>
    <row r="143" spans="1:43" x14ac:dyDescent="0.25">
      <c r="AO143" s="30"/>
      <c r="AP143" s="30"/>
    </row>
    <row r="144" spans="1:43" x14ac:dyDescent="0.25">
      <c r="AO144" s="30"/>
      <c r="AP144" s="30"/>
    </row>
  </sheetData>
  <sheetProtection formatCells="0" formatColumns="0" formatRows="0" deleteColumns="0" deleteRows="0"/>
  <protectedRanges>
    <protectedRange sqref="H16:H135" name="Rango2_2"/>
  </protectedRanges>
  <mergeCells count="21">
    <mergeCell ref="AK12:AL14"/>
    <mergeCell ref="M13:N13"/>
    <mergeCell ref="O13:P13"/>
    <mergeCell ref="H13:H15"/>
    <mergeCell ref="I13:J14"/>
    <mergeCell ref="K13:L14"/>
    <mergeCell ref="X13:Y13"/>
    <mergeCell ref="AI12:AJ14"/>
    <mergeCell ref="Z13:AA14"/>
    <mergeCell ref="AB13:AC14"/>
    <mergeCell ref="AD13:AD14"/>
    <mergeCell ref="AE13:AE14"/>
    <mergeCell ref="AF13:AG14"/>
    <mergeCell ref="S13:T14"/>
    <mergeCell ref="V13:W13"/>
    <mergeCell ref="Q13:R14"/>
    <mergeCell ref="A12:A15"/>
    <mergeCell ref="B13:B15"/>
    <mergeCell ref="C13:C15"/>
    <mergeCell ref="D13:E14"/>
    <mergeCell ref="F13:G14"/>
  </mergeCells>
  <conditionalFormatting sqref="D16:E135 K16:L135">
    <cfRule type="cellIs" dxfId="0" priority="1" operator="equal">
      <formula>1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9B4B0-54FC-45C9-BE07-220FD0ACD5B4}">
  <sheetPr codeName="Hoja8"/>
  <dimension ref="A1:AF123"/>
  <sheetViews>
    <sheetView zoomScale="90" zoomScaleNormal="90" workbookViewId="0">
      <pane ySplit="2" topLeftCell="A3" activePane="bottomLeft" state="frozen"/>
      <selection pane="bottomLeft" activeCell="A2" sqref="A2"/>
    </sheetView>
  </sheetViews>
  <sheetFormatPr baseColWidth="10" defaultRowHeight="15" x14ac:dyDescent="0.25"/>
  <cols>
    <col min="2" max="4" width="12.7109375" customWidth="1"/>
    <col min="5" max="5" width="15.28515625" bestFit="1" customWidth="1"/>
    <col min="6" max="7" width="12.7109375" customWidth="1"/>
    <col min="8" max="10" width="12.7109375" style="78" customWidth="1"/>
    <col min="11" max="12" width="16.28515625" hidden="1" customWidth="1"/>
    <col min="13" max="13" width="16.28515625" style="5" customWidth="1"/>
    <col min="14" max="14" width="16.28515625" customWidth="1"/>
    <col min="15" max="15" width="16.28515625" style="5" customWidth="1"/>
    <col min="16" max="16" width="19.42578125" customWidth="1"/>
    <col min="17" max="17" width="13.28515625" bestFit="1" customWidth="1"/>
    <col min="18" max="19" width="16.7109375" customWidth="1"/>
    <col min="21" max="21" width="13.7109375" hidden="1" customWidth="1"/>
    <col min="22" max="23" width="14.28515625" customWidth="1"/>
    <col min="25" max="25" width="36.85546875" bestFit="1" customWidth="1"/>
    <col min="26" max="26" width="10.28515625" customWidth="1"/>
    <col min="27" max="27" width="9.7109375" bestFit="1" customWidth="1"/>
    <col min="28" max="28" width="47.140625" bestFit="1" customWidth="1"/>
    <col min="32" max="32" width="11.42578125" style="49"/>
    <col min="41" max="41" width="14.140625" bestFit="1" customWidth="1"/>
  </cols>
  <sheetData>
    <row r="1" spans="1:32" x14ac:dyDescent="0.25">
      <c r="A1" s="415" t="s">
        <v>191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O1" s="218"/>
      <c r="Q1" s="416" t="s">
        <v>186</v>
      </c>
      <c r="R1" s="416"/>
      <c r="S1" s="416"/>
      <c r="U1" s="280"/>
      <c r="V1" s="417" t="s">
        <v>290</v>
      </c>
      <c r="W1" s="417"/>
      <c r="Z1" s="285" t="s">
        <v>110</v>
      </c>
      <c r="AA1" s="285" t="s">
        <v>111</v>
      </c>
      <c r="AD1" s="416" t="s">
        <v>183</v>
      </c>
      <c r="AE1" s="416"/>
      <c r="AF1" s="416"/>
    </row>
    <row r="2" spans="1:32" ht="75" x14ac:dyDescent="0.25">
      <c r="A2" s="112" t="s">
        <v>20</v>
      </c>
      <c r="B2" s="112" t="s">
        <v>125</v>
      </c>
      <c r="C2" s="112" t="s">
        <v>192</v>
      </c>
      <c r="D2" s="112" t="s">
        <v>17</v>
      </c>
      <c r="E2" s="112" t="s">
        <v>209</v>
      </c>
      <c r="F2" s="112" t="s">
        <v>135</v>
      </c>
      <c r="G2" s="112" t="s">
        <v>134</v>
      </c>
      <c r="H2" s="116" t="s">
        <v>157</v>
      </c>
      <c r="I2" s="116" t="s">
        <v>158</v>
      </c>
      <c r="J2" s="116" t="s">
        <v>159</v>
      </c>
      <c r="K2" s="113" t="s">
        <v>126</v>
      </c>
      <c r="L2" s="113" t="s">
        <v>156</v>
      </c>
      <c r="M2" s="116" t="s">
        <v>196</v>
      </c>
      <c r="O2" s="116" t="s">
        <v>221</v>
      </c>
      <c r="P2" s="261"/>
      <c r="Q2" s="112" t="s">
        <v>122</v>
      </c>
      <c r="R2" s="112" t="s">
        <v>187</v>
      </c>
      <c r="S2" s="112" t="s">
        <v>188</v>
      </c>
      <c r="U2" s="114" t="s">
        <v>185</v>
      </c>
      <c r="V2" s="115" t="s">
        <v>20</v>
      </c>
      <c r="W2" s="115" t="s">
        <v>184</v>
      </c>
      <c r="Y2" s="115" t="s">
        <v>119</v>
      </c>
      <c r="Z2" s="115">
        <f>MAX(2017,a_nac+edad_ret_h)</f>
        <v>2044</v>
      </c>
      <c r="AA2" s="115">
        <f>MAX(a_nac+edad_ret_m,2017)</f>
        <v>2044</v>
      </c>
      <c r="AD2" s="112" t="s">
        <v>152</v>
      </c>
      <c r="AE2" s="113" t="s">
        <v>291</v>
      </c>
      <c r="AF2" s="154" t="s">
        <v>210</v>
      </c>
    </row>
    <row r="3" spans="1:32" x14ac:dyDescent="0.25">
      <c r="A3" s="77">
        <v>1981</v>
      </c>
      <c r="B3" s="131">
        <v>6.959148129952597E-2</v>
      </c>
      <c r="C3" s="132">
        <f>IF(A3=Inputs!$P$1,1,IF(A3&lt;Inputs!$P$1,C4/(1+B3),C2*(1+B3)))</f>
        <v>0.4427674846508361</v>
      </c>
      <c r="D3" s="163">
        <f>Inputs!$C$32*UF*C3</f>
        <v>203673.04293938461</v>
      </c>
      <c r="E3" s="164">
        <f t="shared" ref="E3:E43" si="0">E4/(1+$B4)</f>
        <v>535663.39595066523</v>
      </c>
      <c r="F3" s="164">
        <f t="shared" ref="F3:F43" si="1">F4/(1+$B4)</f>
        <v>402106.16566772404</v>
      </c>
      <c r="G3" s="164">
        <f t="shared" ref="G3:G43" si="2">G4/(1+$B4)</f>
        <v>402106.16566772404</v>
      </c>
      <c r="H3" s="133">
        <v>60</v>
      </c>
      <c r="I3" s="133"/>
      <c r="J3" s="133">
        <f t="shared" ref="J3:J45" si="3">H3</f>
        <v>60</v>
      </c>
      <c r="K3" s="134">
        <v>0.128</v>
      </c>
      <c r="L3" s="134">
        <v>6.959148129952597E-2</v>
      </c>
      <c r="M3" s="145"/>
      <c r="O3" s="220">
        <f t="shared" ref="O3:O45" si="4">O$46</f>
        <v>0.1</v>
      </c>
      <c r="P3" s="146"/>
      <c r="Q3">
        <v>1</v>
      </c>
      <c r="R3" s="1">
        <v>0.7</v>
      </c>
      <c r="S3" s="1">
        <f>R3</f>
        <v>0.7</v>
      </c>
      <c r="U3" s="4" t="e">
        <f>#REF!</f>
        <v>#REF!</v>
      </c>
      <c r="V3">
        <f>Esc_6c!A16</f>
        <v>1981</v>
      </c>
      <c r="W3" s="264">
        <v>0.128</v>
      </c>
      <c r="Y3" t="s">
        <v>289</v>
      </c>
      <c r="Z3" s="194">
        <f t="array" ref="Z3">INDEX(cnu!$C$2:$CH$221,MATCH(1,(cnu!$A$2:$A$221=IF(Z$1="Hombre",1,IF(Z$1="Mujer",2)))*(cnu!$B$2:$B$221=IF(Z$1="Hombre",edad_ret_h,IF(Z$1="Mujer",edad_ret_m))),0),MATCH("t_"&amp;Z$2,cnu!$C$1:$CH$1,0))</f>
        <v>15.988339</v>
      </c>
      <c r="AA3" s="194">
        <f t="array" ref="AA3">INDEX(cnu!$C$2:$CH$221,MATCH(1,(cnu!$A$2:$A$221=IF(AA$1="Hombre",1,IF(AA$1="Mujer",2)))*(cnu!$B$2:$B$221=IF(AA$1="Hombre",edad_ret_h,IF(AA$1="Mujer",edad_ret_m))),0),MATCH("t_"&amp;AA$2,cnu!$C$1:$CH$1,0))</f>
        <v>17.938718999999999</v>
      </c>
      <c r="AD3">
        <v>1950</v>
      </c>
      <c r="AE3">
        <f>2024-AD3</f>
        <v>74</v>
      </c>
      <c r="AF3" s="49">
        <f>65%</f>
        <v>0.65</v>
      </c>
    </row>
    <row r="4" spans="1:32" x14ac:dyDescent="0.25">
      <c r="A4" s="77">
        <v>1982</v>
      </c>
      <c r="B4" s="131">
        <v>2.2762810931689526E-2</v>
      </c>
      <c r="C4" s="132">
        <f>IF(A4=Inputs!$P$1,1,IF(A4&lt;Inputs!$P$1,C5/(1+B4),C3*(1+B4)))</f>
        <v>0.47358032977895292</v>
      </c>
      <c r="D4" s="163">
        <f>Inputs!$C$32*UF*C4</f>
        <v>217846.95169831836</v>
      </c>
      <c r="E4" s="164">
        <f t="shared" si="0"/>
        <v>547856.60055571701</v>
      </c>
      <c r="F4" s="164">
        <f t="shared" si="1"/>
        <v>411259.23229128507</v>
      </c>
      <c r="G4" s="164">
        <f t="shared" si="2"/>
        <v>411259.23229128507</v>
      </c>
      <c r="H4" s="133">
        <v>60</v>
      </c>
      <c r="I4" s="133"/>
      <c r="J4" s="133">
        <f t="shared" si="3"/>
        <v>60</v>
      </c>
      <c r="K4" s="134">
        <v>0.28510000000000002</v>
      </c>
      <c r="L4" s="134">
        <v>2.2762810931689526E-2</v>
      </c>
      <c r="M4" s="145"/>
      <c r="O4" s="220">
        <f t="shared" si="4"/>
        <v>0.1</v>
      </c>
      <c r="P4" s="146"/>
      <c r="Q4">
        <v>2</v>
      </c>
      <c r="R4" s="1">
        <v>0.55000000000000004</v>
      </c>
      <c r="S4" s="1">
        <f t="shared" ref="S4:S9" si="5">R4+S3</f>
        <v>1.25</v>
      </c>
      <c r="U4" s="4" t="e">
        <f>#REF!</f>
        <v>#REF!</v>
      </c>
      <c r="V4">
        <f>Esc_6c!A17</f>
        <v>1982</v>
      </c>
      <c r="W4" s="264">
        <v>0.28510000000000002</v>
      </c>
      <c r="Y4" t="s">
        <v>273</v>
      </c>
      <c r="Z4" s="197">
        <f t="array" ref="Z4">INDEX(cnu!$C$2:$CH$221,MATCH(1,(cnu!$A$2:$A$221=1)*(cnu!$B$2:$B$221=edad_ret_m),0),MATCH("t_"&amp;MAX(Parámetros!AA$2,2024),cnu!$C$1:$CH$1,0))</f>
        <v>15.988339</v>
      </c>
      <c r="AA4" s="198">
        <f t="array" ref="AA4">INDEX(cnu!$C$2:$CH$221,MATCH(1,(cnu!$A$2:$A$221=2)*(cnu!$B$2:$B$221=edad_ret_m),0),MATCH("t_"&amp;MAX(Parámetros!AA$2,2024),cnu!$C$1:$CH$1,0))</f>
        <v>17.938718999999999</v>
      </c>
      <c r="AB4" t="s">
        <v>268</v>
      </c>
      <c r="AD4">
        <v>1951</v>
      </c>
      <c r="AE4">
        <f t="shared" ref="AE4:AE56" si="6">2024-AD4</f>
        <v>73</v>
      </c>
      <c r="AF4" s="49">
        <f>65%</f>
        <v>0.65</v>
      </c>
    </row>
    <row r="5" spans="1:32" x14ac:dyDescent="0.25">
      <c r="A5" s="77">
        <v>1983</v>
      </c>
      <c r="B5" s="131">
        <v>-0.11149234921809037</v>
      </c>
      <c r="C5" s="132">
        <f>IF(A5=Inputs!$P$1,1,IF(A5&lt;Inputs!$P$1,C6/(1+B5),C4*(1+B5)))</f>
        <v>0.48436034928667843</v>
      </c>
      <c r="D5" s="163">
        <f>Inputs!$C$32*UF*C5</f>
        <v>222805.76067187206</v>
      </c>
      <c r="E5" s="164">
        <f t="shared" si="0"/>
        <v>486774.78112512321</v>
      </c>
      <c r="F5" s="164">
        <f t="shared" si="1"/>
        <v>365406.97434550134</v>
      </c>
      <c r="G5" s="164">
        <f t="shared" si="2"/>
        <v>365406.97434550134</v>
      </c>
      <c r="H5" s="133">
        <v>60</v>
      </c>
      <c r="I5" s="133"/>
      <c r="J5" s="133">
        <f t="shared" si="3"/>
        <v>60</v>
      </c>
      <c r="K5" s="134">
        <v>0.19741040729336046</v>
      </c>
      <c r="L5" s="134">
        <v>-0.11149234921809037</v>
      </c>
      <c r="M5" s="145"/>
      <c r="O5" s="220">
        <f t="shared" si="4"/>
        <v>0.1</v>
      </c>
      <c r="P5" s="146"/>
      <c r="Q5">
        <v>3</v>
      </c>
      <c r="R5" s="1">
        <v>0.45</v>
      </c>
      <c r="S5" s="1">
        <f t="shared" si="5"/>
        <v>1.7</v>
      </c>
      <c r="U5" s="4" t="e">
        <f>#REF!</f>
        <v>#REF!</v>
      </c>
      <c r="V5">
        <f>Esc_6c!A18</f>
        <v>1983</v>
      </c>
      <c r="W5" s="264">
        <v>0.21249999999999999</v>
      </c>
      <c r="Y5" t="s">
        <v>274</v>
      </c>
      <c r="Z5" s="195">
        <f t="array" ref="Z5">SUM(INDEX(cnu_noc!$C$2:$CH$221,,MATCH("t_"&amp;Z$2,cnu_noc!$C$1:$CH$1,0))*(cnu_noc!$B$2:$B$221=IF(Z$1="Hombre",edad_ret_h,IF(Z$1="Mujer",edad_ret_m))))/2</f>
        <v>19.367295499999997</v>
      </c>
      <c r="AA5" s="195">
        <f t="array" ref="AA5">SUM(INDEX(cnu_noc!$C$2:$CH$221,,MATCH("t_"&amp;AA$2,cnu_noc!$C$1:$CH$1,0))*(cnu_noc!$B$2:$B$221=IF(AA$1="Hombre",edad_ret_h,IF(AA$1="Mujer",edad_ret_m))))/2</f>
        <v>19.367295499999997</v>
      </c>
      <c r="AD5">
        <v>1952</v>
      </c>
      <c r="AE5">
        <f t="shared" si="6"/>
        <v>72</v>
      </c>
      <c r="AF5" s="49">
        <f>65%</f>
        <v>0.65</v>
      </c>
    </row>
    <row r="6" spans="1:32" x14ac:dyDescent="0.25">
      <c r="A6" s="77">
        <v>1984</v>
      </c>
      <c r="B6" s="131">
        <v>4.1513461857736189E-3</v>
      </c>
      <c r="C6" s="132">
        <f>IF(A6=Inputs!$P$1,1,IF(A6&lt;Inputs!$P$1,C7/(1+B6),C5*(1+B6)))</f>
        <v>0.43035787607661186</v>
      </c>
      <c r="D6" s="163">
        <f>Inputs!$C$32*UF*C6</f>
        <v>197964.62299524146</v>
      </c>
      <c r="E6" s="164">
        <f t="shared" si="0"/>
        <v>488795.5517560778</v>
      </c>
      <c r="F6" s="164">
        <f t="shared" si="1"/>
        <v>366923.90519470559</v>
      </c>
      <c r="G6" s="164">
        <f t="shared" si="2"/>
        <v>366923.90519470559</v>
      </c>
      <c r="H6" s="133">
        <v>60</v>
      </c>
      <c r="I6" s="133"/>
      <c r="J6" s="133">
        <f t="shared" si="3"/>
        <v>60</v>
      </c>
      <c r="K6" s="134">
        <v>0.15164042470234418</v>
      </c>
      <c r="L6" s="134">
        <v>4.1513461857736189E-3</v>
      </c>
      <c r="M6" s="145"/>
      <c r="O6" s="220">
        <f t="shared" si="4"/>
        <v>0.1</v>
      </c>
      <c r="P6" s="146"/>
      <c r="Q6">
        <v>4</v>
      </c>
      <c r="R6" s="1">
        <v>0.4</v>
      </c>
      <c r="S6" s="1">
        <f t="shared" si="5"/>
        <v>2.1</v>
      </c>
      <c r="U6" s="4" t="e">
        <f>#REF!</f>
        <v>#REF!</v>
      </c>
      <c r="V6">
        <f>Esc_6c!A19</f>
        <v>1984</v>
      </c>
      <c r="W6" s="264">
        <v>3.56E-2</v>
      </c>
      <c r="AD6">
        <v>1953</v>
      </c>
      <c r="AE6">
        <f t="shared" si="6"/>
        <v>71</v>
      </c>
      <c r="AF6" s="49">
        <f>65%</f>
        <v>0.65</v>
      </c>
    </row>
    <row r="7" spans="1:32" x14ac:dyDescent="0.25">
      <c r="A7" s="77">
        <v>1985</v>
      </c>
      <c r="B7" s="131">
        <v>-4.4069509358833359E-2</v>
      </c>
      <c r="C7" s="132">
        <f>IF(A7=Inputs!$P$1,1,IF(A7&lt;Inputs!$P$1,C8/(1+B7),C6*(1+B7)))</f>
        <v>0.43214444060398016</v>
      </c>
      <c r="D7" s="163">
        <f>Inputs!$C$32*UF*C7</f>
        <v>198786.44267783087</v>
      </c>
      <c r="E7" s="164">
        <f t="shared" si="0"/>
        <v>467254.57161340723</v>
      </c>
      <c r="F7" s="164">
        <f t="shared" si="1"/>
        <v>350753.74872074783</v>
      </c>
      <c r="G7" s="164">
        <f t="shared" si="2"/>
        <v>350753.74872074783</v>
      </c>
      <c r="H7" s="133">
        <v>60</v>
      </c>
      <c r="I7" s="133"/>
      <c r="J7" s="133">
        <f t="shared" si="3"/>
        <v>60</v>
      </c>
      <c r="K7" s="134">
        <v>7.1379001264391784E-2</v>
      </c>
      <c r="L7" s="134">
        <v>-4.4069509358833359E-2</v>
      </c>
      <c r="M7" s="145"/>
      <c r="O7" s="220">
        <f t="shared" si="4"/>
        <v>0.1</v>
      </c>
      <c r="P7" s="146"/>
      <c r="Q7">
        <v>5</v>
      </c>
      <c r="R7" s="1">
        <v>0.35</v>
      </c>
      <c r="S7" s="1">
        <f t="shared" si="5"/>
        <v>2.4500000000000002</v>
      </c>
      <c r="U7" s="4" t="e">
        <f>#REF!</f>
        <v>#REF!</v>
      </c>
      <c r="V7">
        <f>Esc_6c!A20</f>
        <v>1985</v>
      </c>
      <c r="W7" s="264">
        <v>0.13419999999999999</v>
      </c>
      <c r="AD7">
        <v>1954</v>
      </c>
      <c r="AE7">
        <f t="shared" si="6"/>
        <v>70</v>
      </c>
      <c r="AF7" s="49">
        <f>65%</f>
        <v>0.65</v>
      </c>
    </row>
    <row r="8" spans="1:32" x14ac:dyDescent="0.25">
      <c r="A8" s="77">
        <v>1986</v>
      </c>
      <c r="B8" s="131">
        <v>1.1236470244171182E-2</v>
      </c>
      <c r="C8" s="132">
        <f>IF(A8=Inputs!$P$1,1,IF(A8&lt;Inputs!$P$1,C9/(1+B8),C7*(1+B8)))</f>
        <v>0.41310004713441523</v>
      </c>
      <c r="D8" s="163">
        <f>Inputs!$C$32*UF*C8</f>
        <v>190026.02168183101</v>
      </c>
      <c r="E8" s="164">
        <f t="shared" si="0"/>
        <v>472504.86370379425</v>
      </c>
      <c r="F8" s="164">
        <f t="shared" si="1"/>
        <v>354694.98278128001</v>
      </c>
      <c r="G8" s="164">
        <f t="shared" si="2"/>
        <v>354694.98278128001</v>
      </c>
      <c r="H8" s="133">
        <v>60</v>
      </c>
      <c r="I8" s="133"/>
      <c r="J8" s="133">
        <f t="shared" si="3"/>
        <v>60</v>
      </c>
      <c r="K8" s="134">
        <v>0.14562077466058398</v>
      </c>
      <c r="L8" s="134">
        <v>1.1236470244171182E-2</v>
      </c>
      <c r="M8" s="145"/>
      <c r="O8" s="220">
        <f t="shared" si="4"/>
        <v>0.1</v>
      </c>
      <c r="P8" s="146"/>
      <c r="Q8">
        <v>6</v>
      </c>
      <c r="R8" s="1">
        <v>0.3</v>
      </c>
      <c r="S8" s="1">
        <f t="shared" si="5"/>
        <v>2.75</v>
      </c>
      <c r="U8" s="4" t="e">
        <f>#REF!</f>
        <v>#REF!</v>
      </c>
      <c r="V8">
        <f>Esc_6c!A21</f>
        <v>1986</v>
      </c>
      <c r="W8" s="264">
        <v>0.1229</v>
      </c>
      <c r="Y8" s="286" t="s">
        <v>252</v>
      </c>
      <c r="Z8" s="286"/>
      <c r="AA8" s="286"/>
      <c r="AD8">
        <v>1955</v>
      </c>
      <c r="AE8">
        <f t="shared" si="6"/>
        <v>69</v>
      </c>
      <c r="AF8" s="49">
        <f>65%</f>
        <v>0.65</v>
      </c>
    </row>
    <row r="9" spans="1:32" x14ac:dyDescent="0.25">
      <c r="A9" s="77">
        <v>1987</v>
      </c>
      <c r="B9" s="131">
        <v>3.7786938036090678E-3</v>
      </c>
      <c r="C9" s="132">
        <f>IF(A9=Inputs!$P$1,1,IF(A9&lt;Inputs!$P$1,C10/(1+B9),C8*(1+B9)))</f>
        <v>0.4177418335219068</v>
      </c>
      <c r="D9" s="163">
        <f>Inputs!$C$32*UF*C9</f>
        <v>192161.24342007714</v>
      </c>
      <c r="E9" s="164">
        <f t="shared" si="0"/>
        <v>474290.31490444695</v>
      </c>
      <c r="F9" s="164">
        <f t="shared" si="1"/>
        <v>356035.26651488687</v>
      </c>
      <c r="G9" s="164">
        <f t="shared" si="2"/>
        <v>356035.26651488687</v>
      </c>
      <c r="H9" s="133">
        <v>60</v>
      </c>
      <c r="I9" s="133"/>
      <c r="J9" s="133">
        <f t="shared" si="3"/>
        <v>60</v>
      </c>
      <c r="K9" s="134">
        <v>7.6739097676619572E-2</v>
      </c>
      <c r="L9" s="134">
        <v>3.7786938036090678E-3</v>
      </c>
      <c r="M9" s="145"/>
      <c r="O9" s="220">
        <f t="shared" si="4"/>
        <v>0.1</v>
      </c>
      <c r="P9" s="146"/>
      <c r="Q9">
        <v>7</v>
      </c>
      <c r="R9" s="1">
        <v>0.3</v>
      </c>
      <c r="S9" s="1">
        <f t="shared" si="5"/>
        <v>3.05</v>
      </c>
      <c r="U9" s="4" t="e">
        <f>#REF!</f>
        <v>#REF!</v>
      </c>
      <c r="V9">
        <f>Esc_6c!A22</f>
        <v>1987</v>
      </c>
      <c r="W9" s="264">
        <v>5.4100000000000002E-2</v>
      </c>
      <c r="Z9" s="285" t="str">
        <f t="array" ref="Z9:AA9">Z1:AA1</f>
        <v>Hombre</v>
      </c>
      <c r="AA9" s="285" t="str">
        <v>Mujer</v>
      </c>
      <c r="AD9">
        <v>1956</v>
      </c>
      <c r="AE9">
        <f t="shared" si="6"/>
        <v>68</v>
      </c>
      <c r="AF9" s="49">
        <f>65%</f>
        <v>0.65</v>
      </c>
    </row>
    <row r="10" spans="1:32" x14ac:dyDescent="0.25">
      <c r="A10" s="77">
        <v>1988</v>
      </c>
      <c r="B10" s="131">
        <v>5.5094882882564589E-2</v>
      </c>
      <c r="C10" s="132">
        <f>IF(A10=Inputs!$P$1,1,IF(A10&lt;Inputs!$P$1,C11/(1+B10),C9*(1+B10)))</f>
        <v>0.41932035199974432</v>
      </c>
      <c r="D10" s="163">
        <f>Inputs!$C$32*UF*C10</f>
        <v>192887.36191988239</v>
      </c>
      <c r="E10" s="164">
        <f t="shared" si="0"/>
        <v>500421.2842564421</v>
      </c>
      <c r="F10" s="164">
        <f t="shared" si="1"/>
        <v>375650.98782558722</v>
      </c>
      <c r="G10" s="164">
        <f t="shared" si="2"/>
        <v>375650.98782558722</v>
      </c>
      <c r="H10" s="133">
        <v>60</v>
      </c>
      <c r="I10" s="133"/>
      <c r="J10" s="133">
        <f t="shared" si="3"/>
        <v>60</v>
      </c>
      <c r="K10" s="134">
        <v>6.8942670919987847E-2</v>
      </c>
      <c r="L10" s="134">
        <v>5.5094882882564589E-2</v>
      </c>
      <c r="M10" s="145"/>
      <c r="O10" s="220">
        <f t="shared" si="4"/>
        <v>0.1</v>
      </c>
      <c r="P10" s="146"/>
      <c r="U10" s="4" t="e">
        <f>#REF!</f>
        <v>#REF!</v>
      </c>
      <c r="V10">
        <f>Esc_6c!A23</f>
        <v>1988</v>
      </c>
      <c r="W10" s="264">
        <v>6.4899999999999999E-2</v>
      </c>
      <c r="Y10" t="s">
        <v>253</v>
      </c>
      <c r="Z10">
        <f>IF(Z2&lt;2022,Z2,a_nac + 65)</f>
        <v>2044</v>
      </c>
      <c r="AA10">
        <f>IF(AA2&lt;2022,AA2,a_nac + 60)</f>
        <v>2039</v>
      </c>
      <c r="AD10">
        <v>1957</v>
      </c>
      <c r="AE10">
        <f t="shared" si="6"/>
        <v>67</v>
      </c>
      <c r="AF10" s="49">
        <f>65%</f>
        <v>0.65</v>
      </c>
    </row>
    <row r="11" spans="1:32" x14ac:dyDescent="0.25">
      <c r="A11" s="77">
        <v>1989</v>
      </c>
      <c r="B11" s="131">
        <v>2.9609014474272444E-2</v>
      </c>
      <c r="C11" s="132">
        <f>IF(A11=Inputs!$P$1,1,IF(A11&lt;Inputs!$P$1,C12/(1+B11),C10*(1+B11)))</f>
        <v>0.44242275768344597</v>
      </c>
      <c r="D11" s="163">
        <f>Inputs!$C$32*UF*C11</f>
        <v>203514.46853438515</v>
      </c>
      <c r="E11" s="164">
        <f t="shared" si="0"/>
        <v>515238.2653052251</v>
      </c>
      <c r="F11" s="164">
        <f t="shared" si="1"/>
        <v>386773.64336138975</v>
      </c>
      <c r="G11" s="164">
        <f t="shared" si="2"/>
        <v>386773.64336138975</v>
      </c>
      <c r="H11" s="133">
        <v>60</v>
      </c>
      <c r="I11" s="133"/>
      <c r="J11" s="133">
        <f t="shared" si="3"/>
        <v>60</v>
      </c>
      <c r="K11" s="134">
        <v>6.6723636921992791E-2</v>
      </c>
      <c r="L11" s="134">
        <v>2.9609014474272444E-2</v>
      </c>
      <c r="M11" s="145"/>
      <c r="O11" s="220">
        <f t="shared" si="4"/>
        <v>0.1</v>
      </c>
      <c r="P11" s="146"/>
      <c r="U11" s="4" t="e">
        <f>#REF!</f>
        <v>#REF!</v>
      </c>
      <c r="V11">
        <f>Esc_6c!A24</f>
        <v>1989</v>
      </c>
      <c r="W11" s="264">
        <v>6.9199999999999998E-2</v>
      </c>
      <c r="Y11" t="s">
        <v>254</v>
      </c>
      <c r="Z11">
        <f>Z$10-a_nac</f>
        <v>65</v>
      </c>
      <c r="AA11">
        <f>AA$10-a_nac</f>
        <v>60</v>
      </c>
      <c r="AD11">
        <v>1958</v>
      </c>
      <c r="AE11">
        <f t="shared" si="6"/>
        <v>66</v>
      </c>
      <c r="AF11" s="49">
        <f>65%</f>
        <v>0.65</v>
      </c>
    </row>
    <row r="12" spans="1:32" x14ac:dyDescent="0.25">
      <c r="A12" s="77">
        <v>1990</v>
      </c>
      <c r="B12" s="131">
        <v>2.4121111900829995E-2</v>
      </c>
      <c r="C12" s="132">
        <f>IF(A12=Inputs!$P$1,1,IF(A12&lt;Inputs!$P$1,C13/(1+B12),C11*(1+B12)))</f>
        <v>0.45552245951944265</v>
      </c>
      <c r="D12" s="163">
        <f>Inputs!$C$32*UF*C12</f>
        <v>209540.33137894361</v>
      </c>
      <c r="E12" s="164">
        <f t="shared" si="0"/>
        <v>527666.38515824196</v>
      </c>
      <c r="F12" s="164">
        <f t="shared" si="1"/>
        <v>396103.05369320157</v>
      </c>
      <c r="G12" s="164">
        <f t="shared" si="2"/>
        <v>396103.05369320157</v>
      </c>
      <c r="H12" s="133">
        <v>60</v>
      </c>
      <c r="I12" s="133"/>
      <c r="J12" s="133">
        <f t="shared" si="3"/>
        <v>60</v>
      </c>
      <c r="K12" s="134">
        <v>7.3175957560660976E-2</v>
      </c>
      <c r="L12" s="134">
        <v>2.4121111900829995E-2</v>
      </c>
      <c r="M12" s="145"/>
      <c r="O12" s="220">
        <f t="shared" si="4"/>
        <v>0.1</v>
      </c>
      <c r="P12" s="146"/>
      <c r="Q12" s="416" t="s">
        <v>189</v>
      </c>
      <c r="R12" s="416"/>
      <c r="U12" s="4" t="e">
        <f>#REF!</f>
        <v>#REF!</v>
      </c>
      <c r="V12">
        <f>Esc_6c!A25</f>
        <v>1990</v>
      </c>
      <c r="W12" s="264">
        <v>0.15620000000000001</v>
      </c>
      <c r="Y12" t="s">
        <v>231</v>
      </c>
      <c r="Z12" s="288">
        <f t="array" ref="Z12">INDEX(cnu!$C$2:$CH$221,MATCH(1,(cnu!$A$2:$A$221=IF(Z$9="Hombre",1,IF(Z$9="Mujer",2)))*(cnu!$B$2:$B$221=Z$11),0),MATCH("t_"&amp;Z$10,cnu!$C$1:$CH$1,0))</f>
        <v>15.988339</v>
      </c>
      <c r="AA12" s="288">
        <f t="array" ref="AA12">INDEX(cnu!$C$2:$CH$221,MATCH(1,(cnu!$A$2:$A$221=IF(AA$9="Hombre",1,IF(AA$9="Mujer",2)))*(cnu!$B$2:$B$221=AA$11),0),MATCH("t_"&amp;AA$10,cnu!$C$1:$CH$1,0))</f>
        <v>19.844093999999998</v>
      </c>
      <c r="AD12">
        <v>1959</v>
      </c>
      <c r="AE12">
        <f t="shared" si="6"/>
        <v>65</v>
      </c>
      <c r="AF12" s="49">
        <f>65%</f>
        <v>0.65</v>
      </c>
    </row>
    <row r="13" spans="1:32" ht="15" customHeight="1" x14ac:dyDescent="0.25">
      <c r="A13" s="77">
        <v>1991</v>
      </c>
      <c r="B13" s="131">
        <v>4.1884812121172121E-2</v>
      </c>
      <c r="C13" s="132">
        <f>IF(A13=Inputs!$P$1,1,IF(A13&lt;Inputs!$P$1,C14/(1+B13),C12*(1+B13)))</f>
        <v>0.4665101677388524</v>
      </c>
      <c r="D13" s="163">
        <f>Inputs!$C$32*UF*C13</f>
        <v>214594.67715987211</v>
      </c>
      <c r="E13" s="164">
        <f t="shared" si="0"/>
        <v>549767.59256325301</v>
      </c>
      <c r="F13" s="164">
        <f t="shared" si="1"/>
        <v>412693.7556777639</v>
      </c>
      <c r="G13" s="164">
        <f t="shared" si="2"/>
        <v>412693.7556777639</v>
      </c>
      <c r="H13" s="133">
        <v>60</v>
      </c>
      <c r="I13" s="133"/>
      <c r="J13" s="133">
        <f t="shared" si="3"/>
        <v>60</v>
      </c>
      <c r="K13" s="134">
        <v>0.29979589421183728</v>
      </c>
      <c r="L13" s="134">
        <v>4.1884812121172121E-2</v>
      </c>
      <c r="M13" s="145"/>
      <c r="O13" s="220">
        <f t="shared" si="4"/>
        <v>0.1</v>
      </c>
      <c r="P13" s="146"/>
      <c r="Q13" s="416"/>
      <c r="R13" s="416"/>
      <c r="U13" s="4" t="e">
        <f>#REF!</f>
        <v>#REF!</v>
      </c>
      <c r="V13">
        <f>Esc_6c!A26</f>
        <v>1991</v>
      </c>
      <c r="W13" s="264">
        <v>0.29680000000000001</v>
      </c>
      <c r="AD13">
        <v>1960</v>
      </c>
      <c r="AE13">
        <f t="shared" si="6"/>
        <v>64</v>
      </c>
      <c r="AF13" s="49">
        <v>0.5</v>
      </c>
    </row>
    <row r="14" spans="1:32" x14ac:dyDescent="0.25">
      <c r="A14" s="77">
        <v>1992</v>
      </c>
      <c r="B14" s="131">
        <v>4.1164401379887527E-2</v>
      </c>
      <c r="C14" s="132">
        <f>IF(A14=Inputs!$P$1,1,IF(A14&lt;Inputs!$P$1,C15/(1+B14),C13*(1+B14)))</f>
        <v>0.48604985846721072</v>
      </c>
      <c r="D14" s="163">
        <f>Inputs!$C$32*UF*C14</f>
        <v>223582.93489491692</v>
      </c>
      <c r="E14" s="164">
        <f t="shared" si="0"/>
        <v>572398.44640918123</v>
      </c>
      <c r="F14" s="164">
        <f t="shared" si="1"/>
        <v>429682.04708345659</v>
      </c>
      <c r="G14" s="164">
        <f t="shared" si="2"/>
        <v>429682.04708345659</v>
      </c>
      <c r="H14" s="133">
        <v>60</v>
      </c>
      <c r="I14" s="133"/>
      <c r="J14" s="133">
        <f t="shared" si="3"/>
        <v>60</v>
      </c>
      <c r="K14" s="134">
        <v>0.14686924138121893</v>
      </c>
      <c r="L14" s="134">
        <v>4.1164401379887527E-2</v>
      </c>
      <c r="M14" s="145"/>
      <c r="O14" s="220">
        <f t="shared" si="4"/>
        <v>0.1</v>
      </c>
      <c r="P14" s="146"/>
      <c r="Q14" s="112" t="s">
        <v>104</v>
      </c>
      <c r="R14" s="112" t="s">
        <v>190</v>
      </c>
      <c r="U14" s="4" t="e">
        <f>#REF!</f>
        <v>#REF!</v>
      </c>
      <c r="V14">
        <f>Esc_6c!A27</f>
        <v>1992</v>
      </c>
      <c r="W14" s="264">
        <v>3.04E-2</v>
      </c>
      <c r="AD14">
        <v>1961</v>
      </c>
      <c r="AE14">
        <f t="shared" si="6"/>
        <v>63</v>
      </c>
      <c r="AF14" s="49">
        <v>0.5</v>
      </c>
    </row>
    <row r="15" spans="1:32" x14ac:dyDescent="0.25">
      <c r="A15" s="77">
        <v>1993</v>
      </c>
      <c r="B15" s="131">
        <v>3.4561537748922344E-2</v>
      </c>
      <c r="C15" s="132">
        <f>IF(A15=Inputs!$P$1,1,IF(A15&lt;Inputs!$P$1,C16/(1+B15),C14*(1+B15)))</f>
        <v>0.5060578099317925</v>
      </c>
      <c r="D15" s="163">
        <f>Inputs!$C$32*UF*C15</f>
        <v>232786.59256862456</v>
      </c>
      <c r="E15" s="164">
        <f t="shared" si="0"/>
        <v>592181.41692217661</v>
      </c>
      <c r="F15" s="164">
        <f t="shared" si="1"/>
        <v>444532.51937376568</v>
      </c>
      <c r="G15" s="164">
        <f t="shared" si="2"/>
        <v>444532.51937376568</v>
      </c>
      <c r="H15" s="133">
        <v>60</v>
      </c>
      <c r="I15" s="133"/>
      <c r="J15" s="133">
        <f t="shared" si="3"/>
        <v>60</v>
      </c>
      <c r="K15" s="134">
        <v>4.2136946413000365E-2</v>
      </c>
      <c r="L15" s="134">
        <v>3.4561537748922344E-2</v>
      </c>
      <c r="M15" s="145"/>
      <c r="O15" s="220">
        <f t="shared" si="4"/>
        <v>0.1</v>
      </c>
      <c r="P15" s="146"/>
      <c r="Q15">
        <v>60</v>
      </c>
      <c r="R15" s="1">
        <v>0.05</v>
      </c>
      <c r="U15" s="4" t="e">
        <f>#REF!</f>
        <v>#REF!</v>
      </c>
      <c r="V15">
        <f>Esc_6c!A28</f>
        <v>1993</v>
      </c>
      <c r="W15" s="264">
        <v>0.16210000000000002</v>
      </c>
      <c r="AD15">
        <v>1962</v>
      </c>
      <c r="AE15">
        <f t="shared" si="6"/>
        <v>62</v>
      </c>
      <c r="AF15" s="49">
        <v>0.5</v>
      </c>
    </row>
    <row r="16" spans="1:32" x14ac:dyDescent="0.25">
      <c r="A16" s="77">
        <v>1994</v>
      </c>
      <c r="B16" s="131">
        <v>6.1669684430083915E-2</v>
      </c>
      <c r="C16" s="132">
        <f>IF(A16=Inputs!$P$1,1,IF(A16&lt;Inputs!$P$1,C17/(1+B16),C15*(1+B16)))</f>
        <v>0.52354794603288712</v>
      </c>
      <c r="D16" s="163">
        <f>Inputs!$C$32*UF*C16</f>
        <v>240832.05517512807</v>
      </c>
      <c r="E16" s="164">
        <f t="shared" si="0"/>
        <v>628701.05802912719</v>
      </c>
      <c r="F16" s="164">
        <f t="shared" si="1"/>
        <v>471946.69956245599</v>
      </c>
      <c r="G16" s="164">
        <f t="shared" si="2"/>
        <v>471946.69956245599</v>
      </c>
      <c r="H16" s="133">
        <v>60</v>
      </c>
      <c r="I16" s="133"/>
      <c r="J16" s="133">
        <f t="shared" si="3"/>
        <v>60</v>
      </c>
      <c r="K16" s="134">
        <v>0.22803164630282424</v>
      </c>
      <c r="L16" s="134">
        <v>6.1669684430083915E-2</v>
      </c>
      <c r="M16" s="145"/>
      <c r="O16" s="220">
        <f t="shared" si="4"/>
        <v>0.1</v>
      </c>
      <c r="P16" s="146"/>
      <c r="Q16">
        <v>61</v>
      </c>
      <c r="R16" s="1">
        <v>0.15</v>
      </c>
      <c r="U16" s="4" t="e">
        <f>#REF!</f>
        <v>#REF!</v>
      </c>
      <c r="V16">
        <f>Esc_6c!A29</f>
        <v>1994</v>
      </c>
      <c r="W16" s="264">
        <v>0.18179999999999999</v>
      </c>
      <c r="AD16">
        <v>1963</v>
      </c>
      <c r="AE16">
        <f t="shared" si="6"/>
        <v>61</v>
      </c>
      <c r="AF16" s="49">
        <v>0.5</v>
      </c>
    </row>
    <row r="17" spans="1:32" x14ac:dyDescent="0.25">
      <c r="A17" s="77">
        <v>1995</v>
      </c>
      <c r="B17" s="135">
        <v>4.8281290999737658E-2</v>
      </c>
      <c r="C17" s="132">
        <f>IF(A17=Inputs!$P$1,1,IF(A17&lt;Inputs!$P$1,C18/(1+B17),C16*(1+B17)))</f>
        <v>0.55583498264875386</v>
      </c>
      <c r="D17" s="163">
        <f>Inputs!$C$32*UF*C17</f>
        <v>255684.09201842677</v>
      </c>
      <c r="E17" s="164">
        <f t="shared" si="0"/>
        <v>659055.55676367448</v>
      </c>
      <c r="F17" s="164">
        <f t="shared" si="1"/>
        <v>494732.89550039667</v>
      </c>
      <c r="G17" s="164">
        <f t="shared" si="2"/>
        <v>494732.89550039667</v>
      </c>
      <c r="H17" s="133">
        <v>60</v>
      </c>
      <c r="I17" s="133"/>
      <c r="J17" s="133">
        <f t="shared" si="3"/>
        <v>60</v>
      </c>
      <c r="K17" s="134">
        <v>2.277698481470769E-2</v>
      </c>
      <c r="L17" s="134">
        <v>4.8281290999737658E-2</v>
      </c>
      <c r="M17" s="145"/>
      <c r="O17" s="220">
        <f t="shared" si="4"/>
        <v>0.1</v>
      </c>
      <c r="P17" s="146"/>
      <c r="Q17">
        <v>62</v>
      </c>
      <c r="R17" s="1">
        <v>0.25</v>
      </c>
      <c r="U17" s="4" t="e">
        <f>#REF!</f>
        <v>#REF!</v>
      </c>
      <c r="V17">
        <f>Esc_6c!A30</f>
        <v>1995</v>
      </c>
      <c r="W17" s="264">
        <v>-2.52E-2</v>
      </c>
      <c r="AD17">
        <v>1964</v>
      </c>
      <c r="AE17">
        <f t="shared" si="6"/>
        <v>60</v>
      </c>
      <c r="AF17" s="49">
        <v>0.5</v>
      </c>
    </row>
    <row r="18" spans="1:32" x14ac:dyDescent="0.25">
      <c r="A18" s="77">
        <v>1996</v>
      </c>
      <c r="B18" s="135">
        <v>4.1301627033792254E-2</v>
      </c>
      <c r="C18" s="132">
        <f>IF(A18=Inputs!$P$1,1,IF(A18&lt;Inputs!$P$1,C19/(1+B18),C17*(1+B18)))</f>
        <v>0.58267141319385252</v>
      </c>
      <c r="D18" s="163">
        <f>Inputs!$C$32*UF*C18</f>
        <v>268028.85006917216</v>
      </c>
      <c r="E18" s="164">
        <f t="shared" si="0"/>
        <v>686275.62356367602</v>
      </c>
      <c r="F18" s="164">
        <f t="shared" si="1"/>
        <v>515166.16903170216</v>
      </c>
      <c r="G18" s="164">
        <f t="shared" si="2"/>
        <v>515166.16903170216</v>
      </c>
      <c r="H18" s="133">
        <v>60</v>
      </c>
      <c r="I18" s="133"/>
      <c r="J18" s="133">
        <f t="shared" si="3"/>
        <v>60</v>
      </c>
      <c r="K18" s="134">
        <v>3.1391790817070442E-2</v>
      </c>
      <c r="L18" s="134">
        <v>4.1301627033792254E-2</v>
      </c>
      <c r="M18" s="145"/>
      <c r="O18" s="220">
        <f t="shared" si="4"/>
        <v>0.1</v>
      </c>
      <c r="P18" s="146"/>
      <c r="Q18">
        <v>63</v>
      </c>
      <c r="R18" s="1">
        <v>0.5</v>
      </c>
      <c r="U18" s="4" t="e">
        <f>#REF!</f>
        <v>#REF!</v>
      </c>
      <c r="V18">
        <f>Esc_6c!A31</f>
        <v>1996</v>
      </c>
      <c r="W18" s="264">
        <v>3.5400000000000001E-2</v>
      </c>
      <c r="AD18">
        <v>1965</v>
      </c>
      <c r="AE18">
        <f t="shared" si="6"/>
        <v>59</v>
      </c>
      <c r="AF18" s="49">
        <v>0.39</v>
      </c>
    </row>
    <row r="19" spans="1:32" x14ac:dyDescent="0.25">
      <c r="A19" s="77">
        <v>1997</v>
      </c>
      <c r="B19" s="135">
        <v>2.4038461538461453E-2</v>
      </c>
      <c r="C19" s="132">
        <f>IF(A19=Inputs!$P$1,1,IF(A19&lt;Inputs!$P$1,C20/(1+B19),C18*(1+B19)))</f>
        <v>0.6067366905848377</v>
      </c>
      <c r="D19" s="163">
        <f>Inputs!$C$32*UF*C19</f>
        <v>279098.87766902533</v>
      </c>
      <c r="E19" s="164">
        <f t="shared" si="0"/>
        <v>702772.63374549511</v>
      </c>
      <c r="F19" s="164">
        <f t="shared" si="1"/>
        <v>527549.97117188724</v>
      </c>
      <c r="G19" s="164">
        <f t="shared" si="2"/>
        <v>527549.97117188724</v>
      </c>
      <c r="H19" s="133">
        <v>60</v>
      </c>
      <c r="I19" s="133"/>
      <c r="J19" s="133">
        <f t="shared" si="3"/>
        <v>60</v>
      </c>
      <c r="K19" s="134">
        <v>6.0125198463811369E-2</v>
      </c>
      <c r="L19" s="134">
        <v>2.4038461538461453E-2</v>
      </c>
      <c r="M19" s="145"/>
      <c r="O19" s="220">
        <f t="shared" si="4"/>
        <v>0.1</v>
      </c>
      <c r="P19" s="146"/>
      <c r="Q19">
        <v>64</v>
      </c>
      <c r="R19" s="1">
        <v>0.75</v>
      </c>
      <c r="U19" s="4" t="e">
        <f>#REF!</f>
        <v>#REF!</v>
      </c>
      <c r="V19">
        <f>Esc_6c!A32</f>
        <v>1997</v>
      </c>
      <c r="W19" s="264">
        <v>4.7199999999999999E-2</v>
      </c>
      <c r="AD19">
        <v>1966</v>
      </c>
      <c r="AE19">
        <f t="shared" si="6"/>
        <v>58</v>
      </c>
      <c r="AF19" s="49">
        <v>0.39</v>
      </c>
    </row>
    <row r="20" spans="1:32" x14ac:dyDescent="0.25">
      <c r="A20" s="77">
        <v>1998</v>
      </c>
      <c r="B20" s="135">
        <v>2.6525821596244059E-2</v>
      </c>
      <c r="C20" s="132">
        <f>IF(A20=Inputs!$P$1,1,IF(A20&lt;Inputs!$P$1,C21/(1+B20),C19*(1+B20)))</f>
        <v>0.62132170718543467</v>
      </c>
      <c r="D20" s="163">
        <f>Inputs!$C$32*UF*C20</f>
        <v>285807.98530529992</v>
      </c>
      <c r="E20" s="164">
        <f t="shared" si="0"/>
        <v>721414.25525095069</v>
      </c>
      <c r="F20" s="164">
        <f t="shared" si="1"/>
        <v>541543.66759029636</v>
      </c>
      <c r="G20" s="164">
        <f t="shared" si="2"/>
        <v>541543.66759029636</v>
      </c>
      <c r="H20" s="133">
        <v>60</v>
      </c>
      <c r="I20" s="133"/>
      <c r="J20" s="133">
        <f t="shared" si="3"/>
        <v>60</v>
      </c>
      <c r="K20" s="134">
        <v>-3.6213486759907654E-2</v>
      </c>
      <c r="L20" s="134">
        <v>2.6525821596244059E-2</v>
      </c>
      <c r="M20" s="145"/>
      <c r="O20" s="220">
        <f t="shared" si="4"/>
        <v>0.1</v>
      </c>
      <c r="P20" s="146"/>
      <c r="Q20">
        <v>65</v>
      </c>
      <c r="R20" s="1">
        <v>1</v>
      </c>
      <c r="U20" s="4" t="e">
        <f>#REF!</f>
        <v>#REF!</v>
      </c>
      <c r="V20">
        <f>Esc_6c!A33</f>
        <v>1998</v>
      </c>
      <c r="W20" s="264">
        <v>-1.1399999999999999E-2</v>
      </c>
      <c r="AD20">
        <v>1967</v>
      </c>
      <c r="AE20">
        <f t="shared" si="6"/>
        <v>57</v>
      </c>
      <c r="AF20" s="49">
        <v>0.39</v>
      </c>
    </row>
    <row r="21" spans="1:32" x14ac:dyDescent="0.25">
      <c r="A21" s="77">
        <v>1999</v>
      </c>
      <c r="B21" s="135">
        <v>2.4353990395609593E-2</v>
      </c>
      <c r="C21" s="132">
        <f>IF(A21=Inputs!$P$1,1,IF(A21&lt;Inputs!$P$1,C22/(1+B21),C20*(1+B21)))</f>
        <v>0.63780277594410928</v>
      </c>
      <c r="D21" s="163">
        <f>Inputs!$C$32*UF*C21</f>
        <v>293389.27693429025</v>
      </c>
      <c r="E21" s="164">
        <f t="shared" si="0"/>
        <v>738983.57109458814</v>
      </c>
      <c r="F21" s="164">
        <f t="shared" si="1"/>
        <v>554732.41686959367</v>
      </c>
      <c r="G21" s="164">
        <f t="shared" si="2"/>
        <v>554732.41686959367</v>
      </c>
      <c r="H21" s="133">
        <v>60</v>
      </c>
      <c r="I21" s="133"/>
      <c r="J21" s="133">
        <f t="shared" si="3"/>
        <v>60</v>
      </c>
      <c r="K21" s="134">
        <v>0.11725599539668585</v>
      </c>
      <c r="L21" s="134">
        <v>2.4353990395609593E-2</v>
      </c>
      <c r="M21" s="145"/>
      <c r="O21" s="220">
        <f t="shared" si="4"/>
        <v>0.1</v>
      </c>
      <c r="P21" s="146"/>
      <c r="U21" s="4" t="e">
        <f>#REF!</f>
        <v>#REF!</v>
      </c>
      <c r="V21">
        <f>Esc_6c!A34</f>
        <v>1999</v>
      </c>
      <c r="W21" s="264">
        <v>0.16260000000000002</v>
      </c>
      <c r="AD21">
        <v>1968</v>
      </c>
      <c r="AE21">
        <f t="shared" si="6"/>
        <v>56</v>
      </c>
      <c r="AF21" s="49">
        <v>0.39</v>
      </c>
    </row>
    <row r="22" spans="1:32" x14ac:dyDescent="0.25">
      <c r="A22" s="77">
        <v>2000</v>
      </c>
      <c r="B22" s="135">
        <v>1.384083044982698E-2</v>
      </c>
      <c r="C22" s="132">
        <f>IF(A22=Inputs!$P$1,1,IF(A22&lt;Inputs!$P$1,C23/(1+B22),C21*(1+B22)))</f>
        <v>0.65333581862374523</v>
      </c>
      <c r="D22" s="163">
        <f>Inputs!$C$32*UF*C22</f>
        <v>300534.47656692279</v>
      </c>
      <c r="E22" s="164">
        <f t="shared" si="0"/>
        <v>749211.71740731597</v>
      </c>
      <c r="F22" s="164">
        <f t="shared" si="1"/>
        <v>562410.37419650843</v>
      </c>
      <c r="G22" s="164">
        <f t="shared" si="2"/>
        <v>562410.37419650843</v>
      </c>
      <c r="H22" s="133">
        <v>60</v>
      </c>
      <c r="I22" s="133"/>
      <c r="J22" s="133">
        <f t="shared" si="3"/>
        <v>60</v>
      </c>
      <c r="K22" s="134">
        <v>8.3358703602554485E-2</v>
      </c>
      <c r="L22" s="134">
        <v>1.384083044982698E-2</v>
      </c>
      <c r="M22" s="145"/>
      <c r="O22" s="220">
        <f t="shared" si="4"/>
        <v>0.1</v>
      </c>
      <c r="P22" s="146"/>
      <c r="U22" s="4" t="e">
        <f>#REF!</f>
        <v>#REF!</v>
      </c>
      <c r="V22">
        <f>Esc_6c!A35</f>
        <v>2000</v>
      </c>
      <c r="W22" s="264">
        <v>4.4400000000000002E-2</v>
      </c>
      <c r="AD22">
        <v>1969</v>
      </c>
      <c r="AE22">
        <f t="shared" si="6"/>
        <v>55</v>
      </c>
      <c r="AF22" s="49">
        <v>0.39</v>
      </c>
    </row>
    <row r="23" spans="1:32" x14ac:dyDescent="0.25">
      <c r="A23" s="77">
        <v>2001</v>
      </c>
      <c r="B23" s="135">
        <v>1.6184080149730162E-2</v>
      </c>
      <c r="C23" s="132">
        <f>IF(A23=Inputs!$P$1,1,IF(A23&lt;Inputs!$P$1,C24/(1+B23),C22*(1+B23)))</f>
        <v>0.66237852891611537</v>
      </c>
      <c r="D23" s="163">
        <f>Inputs!$C$32*UF*C23</f>
        <v>304694.12330141308</v>
      </c>
      <c r="E23" s="164">
        <f t="shared" si="0"/>
        <v>761337.01989095297</v>
      </c>
      <c r="F23" s="164">
        <f t="shared" si="1"/>
        <v>571512.4687695445</v>
      </c>
      <c r="G23" s="164">
        <f t="shared" si="2"/>
        <v>571512.4687695445</v>
      </c>
      <c r="H23" s="133">
        <v>60</v>
      </c>
      <c r="I23" s="133"/>
      <c r="J23" s="133">
        <f t="shared" si="3"/>
        <v>60</v>
      </c>
      <c r="K23" s="134">
        <v>6.2108086685087827E-2</v>
      </c>
      <c r="L23" s="134">
        <v>1.6184080149730162E-2</v>
      </c>
      <c r="M23" s="145"/>
      <c r="O23" s="220">
        <f t="shared" si="4"/>
        <v>0.1</v>
      </c>
      <c r="P23" s="146"/>
      <c r="U23" s="4" t="e">
        <f>#REF!</f>
        <v>#REF!</v>
      </c>
      <c r="V23">
        <f>Esc_6c!A36</f>
        <v>2001</v>
      </c>
      <c r="W23" s="264">
        <v>6.7400000000000002E-2</v>
      </c>
      <c r="AD23">
        <v>1970</v>
      </c>
      <c r="AE23">
        <f t="shared" si="6"/>
        <v>54</v>
      </c>
      <c r="AF23" s="49">
        <v>0.3</v>
      </c>
    </row>
    <row r="24" spans="1:32" x14ac:dyDescent="0.25">
      <c r="A24" s="77">
        <v>2002</v>
      </c>
      <c r="B24" s="135">
        <v>2.0260021668472517E-2</v>
      </c>
      <c r="C24" s="132">
        <f>IF(A24=Inputs!$P$1,1,IF(A24&lt;Inputs!$P$1,C25/(1+B24),C23*(1+B24)))</f>
        <v>0.67309851611755411</v>
      </c>
      <c r="D24" s="163">
        <f>Inputs!$C$32*UF*C24</f>
        <v>309625.3174140749</v>
      </c>
      <c r="E24" s="164">
        <f t="shared" si="0"/>
        <v>776761.72441095393</v>
      </c>
      <c r="F24" s="164">
        <f t="shared" si="1"/>
        <v>583091.32377061772</v>
      </c>
      <c r="G24" s="164">
        <f t="shared" si="2"/>
        <v>583091.32377061772</v>
      </c>
      <c r="H24" s="133">
        <v>60</v>
      </c>
      <c r="I24" s="133"/>
      <c r="J24" s="133">
        <f t="shared" si="3"/>
        <v>60</v>
      </c>
      <c r="K24" s="134">
        <v>4.9286352904493125E-2</v>
      </c>
      <c r="L24" s="134">
        <v>2.0260021668472517E-2</v>
      </c>
      <c r="M24" s="145"/>
      <c r="O24" s="220">
        <f t="shared" si="4"/>
        <v>0.1</v>
      </c>
      <c r="P24" s="146"/>
      <c r="U24" s="4" t="e">
        <f>#REF!</f>
        <v>#REF!</v>
      </c>
      <c r="V24">
        <f>Esc_6c!A37</f>
        <v>2002</v>
      </c>
      <c r="W24" s="264">
        <v>2.98E-2</v>
      </c>
      <c r="AD24">
        <v>1971</v>
      </c>
      <c r="AE24">
        <f t="shared" si="6"/>
        <v>53</v>
      </c>
      <c r="AF24" s="49">
        <v>0.3</v>
      </c>
    </row>
    <row r="25" spans="1:32" x14ac:dyDescent="0.25">
      <c r="A25" s="77">
        <v>2003</v>
      </c>
      <c r="B25" s="135">
        <v>9.2386110226188034E-3</v>
      </c>
      <c r="C25" s="132">
        <f>IF(A25=Inputs!$P$1,1,IF(A25&lt;Inputs!$P$1,C26/(1+B25),C24*(1+B25)))</f>
        <v>0.68673550663911243</v>
      </c>
      <c r="D25" s="163">
        <f>Inputs!$C$32*UF*C25</f>
        <v>315898.33305399172</v>
      </c>
      <c r="E25" s="164">
        <f t="shared" si="0"/>
        <v>783937.92384004535</v>
      </c>
      <c r="F25" s="164">
        <f t="shared" si="1"/>
        <v>588478.27770159836</v>
      </c>
      <c r="G25" s="164">
        <f t="shared" si="2"/>
        <v>588478.27770159836</v>
      </c>
      <c r="H25" s="133">
        <v>60</v>
      </c>
      <c r="I25" s="133"/>
      <c r="J25" s="133">
        <f t="shared" si="3"/>
        <v>60</v>
      </c>
      <c r="K25" s="134">
        <v>6.8677403643867319E-2</v>
      </c>
      <c r="L25" s="134">
        <v>9.2386110226188034E-3</v>
      </c>
      <c r="M25" s="145"/>
      <c r="O25" s="220">
        <f t="shared" si="4"/>
        <v>0.1</v>
      </c>
      <c r="P25" s="146"/>
      <c r="U25" s="4" t="e">
        <f>#REF!</f>
        <v>#REF!</v>
      </c>
      <c r="V25">
        <f>Esc_6c!A38</f>
        <v>2003</v>
      </c>
      <c r="W25" s="264">
        <v>0.10550000000000001</v>
      </c>
      <c r="AD25">
        <v>1972</v>
      </c>
      <c r="AE25">
        <f t="shared" si="6"/>
        <v>52</v>
      </c>
      <c r="AF25" s="49">
        <v>0.3</v>
      </c>
    </row>
    <row r="26" spans="1:32" x14ac:dyDescent="0.25">
      <c r="A26" s="77">
        <v>2004</v>
      </c>
      <c r="B26" s="135">
        <v>1.8202861952861804E-2</v>
      </c>
      <c r="C26" s="132">
        <f>IF(A26=Inputs!$P$1,1,IF(A26&lt;Inputs!$P$1,C27/(1+B26),C25*(1+B26)))</f>
        <v>0.69307998886037225</v>
      </c>
      <c r="D26" s="163">
        <f>Inputs!$C$32*UF*C26</f>
        <v>318816.79487577121</v>
      </c>
      <c r="E26" s="164">
        <f t="shared" si="0"/>
        <v>798207.83764731884</v>
      </c>
      <c r="F26" s="164">
        <f t="shared" si="1"/>
        <v>599190.2665528584</v>
      </c>
      <c r="G26" s="164">
        <f t="shared" si="2"/>
        <v>599190.2665528584</v>
      </c>
      <c r="H26" s="133">
        <v>60</v>
      </c>
      <c r="I26" s="133"/>
      <c r="J26" s="133">
        <f t="shared" si="3"/>
        <v>60</v>
      </c>
      <c r="K26" s="134">
        <v>9.5294025693184459E-2</v>
      </c>
      <c r="L26" s="134">
        <v>1.8202861952861804E-2</v>
      </c>
      <c r="M26" s="145"/>
      <c r="O26" s="220">
        <f t="shared" si="4"/>
        <v>0.1</v>
      </c>
      <c r="P26" s="146"/>
      <c r="U26" s="4" t="e">
        <f>#REF!</f>
        <v>#REF!</v>
      </c>
      <c r="V26">
        <f>Esc_6c!A39</f>
        <v>2004</v>
      </c>
      <c r="W26" s="264">
        <v>8.8599999999999998E-2</v>
      </c>
      <c r="AD26">
        <v>1973</v>
      </c>
      <c r="AE26">
        <f t="shared" si="6"/>
        <v>51</v>
      </c>
      <c r="AF26" s="49">
        <v>0.3</v>
      </c>
    </row>
    <row r="27" spans="1:32" x14ac:dyDescent="0.25">
      <c r="A27" s="77">
        <v>2005</v>
      </c>
      <c r="B27" s="135">
        <v>1.8600806034928086E-2</v>
      </c>
      <c r="C27" s="132">
        <f>IF(A27=Inputs!$P$1,1,IF(A27&lt;Inputs!$P$1,C28/(1+B27),C26*(1+B27)))</f>
        <v>0.70569602821988864</v>
      </c>
      <c r="D27" s="163">
        <f>Inputs!$C$32*UF*C27</f>
        <v>324620.17298114876</v>
      </c>
      <c r="E27" s="164">
        <f t="shared" si="0"/>
        <v>813055.14681095595</v>
      </c>
      <c r="F27" s="164">
        <f t="shared" si="1"/>
        <v>610335.68847902503</v>
      </c>
      <c r="G27" s="164">
        <f t="shared" si="2"/>
        <v>610335.68847902503</v>
      </c>
      <c r="H27" s="133">
        <v>60</v>
      </c>
      <c r="I27" s="133"/>
      <c r="J27" s="133">
        <f t="shared" si="3"/>
        <v>60</v>
      </c>
      <c r="K27" s="134">
        <v>8.2440221599674457E-2</v>
      </c>
      <c r="L27" s="134">
        <v>1.8600806034928086E-2</v>
      </c>
      <c r="M27" s="145"/>
      <c r="O27" s="220">
        <f t="shared" si="4"/>
        <v>0.1</v>
      </c>
      <c r="P27" s="146"/>
      <c r="U27" s="4" t="e">
        <f>#REF!</f>
        <v>#REF!</v>
      </c>
      <c r="V27">
        <f>Esc_6c!A40</f>
        <v>2005</v>
      </c>
      <c r="W27" s="264">
        <v>4.58E-2</v>
      </c>
      <c r="AD27">
        <v>1974</v>
      </c>
      <c r="AE27">
        <f t="shared" si="6"/>
        <v>50</v>
      </c>
      <c r="AF27" s="49">
        <v>0.3</v>
      </c>
    </row>
    <row r="28" spans="1:32" x14ac:dyDescent="0.25">
      <c r="A28" s="77">
        <v>2006</v>
      </c>
      <c r="B28" s="135">
        <v>1.9579993912955285E-2</v>
      </c>
      <c r="C28" s="132">
        <f>IF(A28=Inputs!$P$1,1,IF(A28&lt;Inputs!$P$1,C29/(1+B28),C27*(1+B28)))</f>
        <v>0.71882254316042593</v>
      </c>
      <c r="D28" s="163">
        <f>Inputs!$C$32*UF*C28</f>
        <v>330658.36985379591</v>
      </c>
      <c r="E28" s="164">
        <f t="shared" si="0"/>
        <v>828974.76163641142</v>
      </c>
      <c r="F28" s="164">
        <f t="shared" si="1"/>
        <v>622286.05754430371</v>
      </c>
      <c r="G28" s="164">
        <f t="shared" si="2"/>
        <v>622286.05754430371</v>
      </c>
      <c r="H28" s="133">
        <v>60</v>
      </c>
      <c r="I28" s="133"/>
      <c r="J28" s="133">
        <f t="shared" si="3"/>
        <v>60</v>
      </c>
      <c r="K28" s="134">
        <v>7.4225073357415905E-2</v>
      </c>
      <c r="L28" s="134">
        <v>1.9579993912955285E-2</v>
      </c>
      <c r="M28" s="145"/>
      <c r="O28" s="220">
        <f t="shared" si="4"/>
        <v>0.1</v>
      </c>
      <c r="P28" s="146"/>
      <c r="U28" s="4" t="e">
        <f>#REF!</f>
        <v>#REF!</v>
      </c>
      <c r="V28">
        <f>Esc_6c!A41</f>
        <v>2006</v>
      </c>
      <c r="W28" s="264">
        <v>0.15770000000000001</v>
      </c>
      <c r="AD28">
        <v>1975</v>
      </c>
      <c r="AE28">
        <f t="shared" si="6"/>
        <v>49</v>
      </c>
      <c r="AF28" s="49">
        <v>0.2</v>
      </c>
    </row>
    <row r="29" spans="1:32" x14ac:dyDescent="0.25">
      <c r="A29" s="77">
        <v>2007</v>
      </c>
      <c r="B29" s="135">
        <v>2.8159203980099523E-2</v>
      </c>
      <c r="C29" s="132">
        <f>IF(A29=Inputs!$P$1,1,IF(A29&lt;Inputs!$P$1,C30/(1+B29),C28*(1+B29)))</f>
        <v>0.7328970841800021</v>
      </c>
      <c r="D29" s="163">
        <f>Inputs!$C$32*UF*C29</f>
        <v>337132.65872280096</v>
      </c>
      <c r="E29" s="164">
        <f t="shared" si="0"/>
        <v>852318.03104368551</v>
      </c>
      <c r="F29" s="164">
        <f t="shared" si="1"/>
        <v>639809.1375726657</v>
      </c>
      <c r="G29" s="164">
        <f t="shared" si="2"/>
        <v>639809.1375726657</v>
      </c>
      <c r="H29" s="133">
        <v>60</v>
      </c>
      <c r="I29" s="133"/>
      <c r="J29" s="133">
        <f t="shared" si="3"/>
        <v>60</v>
      </c>
      <c r="K29" s="134">
        <v>0.14153674407923833</v>
      </c>
      <c r="L29" s="134">
        <v>2.8159203980099523E-2</v>
      </c>
      <c r="M29" s="145"/>
      <c r="O29" s="220">
        <f t="shared" si="4"/>
        <v>0.1</v>
      </c>
      <c r="P29" s="146"/>
      <c r="U29" s="4" t="e">
        <f>#REF!</f>
        <v>#REF!</v>
      </c>
      <c r="V29">
        <f>Esc_6c!A42</f>
        <v>2007</v>
      </c>
      <c r="W29" s="264">
        <v>4.99E-2</v>
      </c>
      <c r="AD29">
        <v>1976</v>
      </c>
      <c r="AE29">
        <f t="shared" si="6"/>
        <v>48</v>
      </c>
      <c r="AF29" s="49">
        <v>0.2</v>
      </c>
    </row>
    <row r="30" spans="1:32" x14ac:dyDescent="0.25">
      <c r="A30" s="77">
        <v>2008</v>
      </c>
      <c r="B30" s="135">
        <v>-2.0323236233426023E-3</v>
      </c>
      <c r="C30" s="132">
        <f>IF(A30=Inputs!$P$1,1,IF(A30&lt;Inputs!$P$1,C31/(1+B30),C29*(1+B30)))</f>
        <v>0.75353488266984692</v>
      </c>
      <c r="D30" s="163">
        <f>Inputs!$C$32*UF*C30</f>
        <v>346626.04602812958</v>
      </c>
      <c r="E30" s="164">
        <f t="shared" si="0"/>
        <v>850585.84497459454</v>
      </c>
      <c r="F30" s="164">
        <f t="shared" si="1"/>
        <v>638508.83834794629</v>
      </c>
      <c r="G30" s="164">
        <f t="shared" si="2"/>
        <v>638508.83834794629</v>
      </c>
      <c r="H30" s="133">
        <v>60</v>
      </c>
      <c r="I30" s="133"/>
      <c r="J30" s="133">
        <f t="shared" si="3"/>
        <v>60</v>
      </c>
      <c r="K30" s="134">
        <v>-8.6336374366901225E-2</v>
      </c>
      <c r="L30" s="134">
        <v>-2.0323236233426023E-3</v>
      </c>
      <c r="M30" s="145"/>
      <c r="O30" s="220">
        <f t="shared" si="4"/>
        <v>0.1</v>
      </c>
      <c r="P30" s="146"/>
      <c r="U30" s="4" t="e">
        <f>#REF!</f>
        <v>#REF!</v>
      </c>
      <c r="V30">
        <f>Esc_6c!A43</f>
        <v>2008</v>
      </c>
      <c r="W30" s="264">
        <v>-0.18940000000000001</v>
      </c>
      <c r="AD30">
        <v>1977</v>
      </c>
      <c r="AE30">
        <f t="shared" si="6"/>
        <v>47</v>
      </c>
      <c r="AF30" s="49">
        <v>0.2</v>
      </c>
    </row>
    <row r="31" spans="1:32" x14ac:dyDescent="0.25">
      <c r="A31" s="77">
        <v>2009</v>
      </c>
      <c r="B31" s="135">
        <v>4.7864173387422548E-2</v>
      </c>
      <c r="C31" s="132">
        <f>IF(A31=Inputs!$P$1,1,IF(A31&lt;Inputs!$P$1,C32/(1+B31),C30*(1+B31)))</f>
        <v>0.7520034559267843</v>
      </c>
      <c r="D31" s="163">
        <f>Inputs!$C$32*UF*C31</f>
        <v>345921.58972632076</v>
      </c>
      <c r="E31" s="164">
        <f t="shared" si="0"/>
        <v>891298.43333934585</v>
      </c>
      <c r="F31" s="164">
        <f t="shared" si="1"/>
        <v>669070.53609603411</v>
      </c>
      <c r="G31" s="164">
        <f t="shared" si="2"/>
        <v>669070.53609603411</v>
      </c>
      <c r="H31" s="133">
        <v>60</v>
      </c>
      <c r="I31" s="133"/>
      <c r="J31" s="133">
        <f t="shared" si="3"/>
        <v>60</v>
      </c>
      <c r="K31" s="134">
        <v>-3.1073225696877094E-3</v>
      </c>
      <c r="L31" s="134">
        <v>4.7864173387422548E-2</v>
      </c>
      <c r="M31" s="145"/>
      <c r="O31" s="220">
        <f t="shared" si="4"/>
        <v>0.1</v>
      </c>
      <c r="P31" s="146"/>
      <c r="U31" s="4" t="e">
        <f>#REF!</f>
        <v>#REF!</v>
      </c>
      <c r="V31">
        <f>Esc_6c!A44</f>
        <v>2009</v>
      </c>
      <c r="W31" s="264">
        <v>0.2253</v>
      </c>
      <c r="AD31">
        <v>1978</v>
      </c>
      <c r="AE31">
        <f t="shared" si="6"/>
        <v>46</v>
      </c>
      <c r="AF31" s="49">
        <v>0.2</v>
      </c>
    </row>
    <row r="32" spans="1:32" x14ac:dyDescent="0.25">
      <c r="A32" s="77">
        <v>2010</v>
      </c>
      <c r="B32" s="135">
        <v>2.6967888910861326E-2</v>
      </c>
      <c r="C32" s="132">
        <f>IF(A32=Inputs!$P$1,1,IF(A32&lt;Inputs!$P$1,C33/(1+B32),C31*(1+B32)))</f>
        <v>0.78799747972920486</v>
      </c>
      <c r="D32" s="163">
        <f>Inputs!$C$32*UF*C32</f>
        <v>362478.84067543421</v>
      </c>
      <c r="E32" s="164">
        <f t="shared" si="0"/>
        <v>915334.87047606602</v>
      </c>
      <c r="F32" s="164">
        <f t="shared" si="1"/>
        <v>687113.95598700235</v>
      </c>
      <c r="G32" s="164">
        <f t="shared" si="2"/>
        <v>687113.95598700235</v>
      </c>
      <c r="H32" s="133">
        <v>64.7</v>
      </c>
      <c r="I32" s="133"/>
      <c r="J32" s="133">
        <f t="shared" si="3"/>
        <v>64.7</v>
      </c>
      <c r="K32" s="134">
        <v>0.1360784014583829</v>
      </c>
      <c r="L32" s="134">
        <v>2.6967888910861326E-2</v>
      </c>
      <c r="M32" s="145"/>
      <c r="O32" s="220">
        <f t="shared" si="4"/>
        <v>0.1</v>
      </c>
      <c r="P32" s="146"/>
      <c r="U32" s="4" t="e">
        <f>#REF!</f>
        <v>#REF!</v>
      </c>
      <c r="V32">
        <f>Esc_6c!A45</f>
        <v>2010</v>
      </c>
      <c r="W32" s="264">
        <v>9.3399999999999997E-2</v>
      </c>
      <c r="AD32">
        <v>1979</v>
      </c>
      <c r="AE32">
        <f t="shared" si="6"/>
        <v>45</v>
      </c>
      <c r="AF32" s="49">
        <v>0.2</v>
      </c>
    </row>
    <row r="33" spans="1:32" x14ac:dyDescent="0.25">
      <c r="A33" s="77">
        <v>2011</v>
      </c>
      <c r="B33" s="135">
        <v>2.4994893516378403E-2</v>
      </c>
      <c r="C33" s="132">
        <f>IF(A33=Inputs!$P$1,1,IF(A33&lt;Inputs!$P$1,C34/(1+B33),C32*(1+B33)))</f>
        <v>0.80924810822458071</v>
      </c>
      <c r="D33" s="163">
        <f>Inputs!$C$32*UF*C33</f>
        <v>372254.12978330714</v>
      </c>
      <c r="E33" s="164">
        <f t="shared" si="0"/>
        <v>938213.5680954433</v>
      </c>
      <c r="F33" s="164">
        <f t="shared" si="1"/>
        <v>704288.29615051497</v>
      </c>
      <c r="G33" s="164">
        <f t="shared" si="2"/>
        <v>704288.29615051497</v>
      </c>
      <c r="H33" s="133">
        <v>66</v>
      </c>
      <c r="I33" s="133"/>
      <c r="J33" s="133">
        <f t="shared" si="3"/>
        <v>66</v>
      </c>
      <c r="K33" s="134">
        <v>2.8472783959693437E-2</v>
      </c>
      <c r="L33" s="134">
        <v>2.4994893516378403E-2</v>
      </c>
      <c r="M33" s="145"/>
      <c r="O33" s="220">
        <f t="shared" si="4"/>
        <v>0.1</v>
      </c>
      <c r="P33" s="146"/>
      <c r="U33" s="4" t="e">
        <f>#REF!</f>
        <v>#REF!</v>
      </c>
      <c r="V33">
        <f>Esc_6c!A46</f>
        <v>2011</v>
      </c>
      <c r="W33" s="264">
        <v>-3.7900000000000003E-2</v>
      </c>
      <c r="AD33">
        <v>1980</v>
      </c>
      <c r="AE33">
        <f t="shared" si="6"/>
        <v>44</v>
      </c>
      <c r="AF33" s="49">
        <v>0.13</v>
      </c>
    </row>
    <row r="34" spans="1:32" x14ac:dyDescent="0.25">
      <c r="A34" s="77">
        <v>2012</v>
      </c>
      <c r="B34" s="135">
        <v>3.2503356267830075E-2</v>
      </c>
      <c r="C34" s="132">
        <f>IF(A34=Inputs!$P$1,1,IF(A34&lt;Inputs!$P$1,C35/(1+B34),C33*(1+B34)))</f>
        <v>0.8294751785179848</v>
      </c>
      <c r="D34" s="163">
        <f>Inputs!$C$32*UF*C34</f>
        <v>381558.58211827301</v>
      </c>
      <c r="E34" s="164">
        <f t="shared" si="0"/>
        <v>968708.65795456152</v>
      </c>
      <c r="F34" s="164">
        <f t="shared" si="1"/>
        <v>727180.02955555823</v>
      </c>
      <c r="G34" s="164">
        <f t="shared" si="2"/>
        <v>727180.02955555823</v>
      </c>
      <c r="H34" s="133">
        <v>67.400000000000006</v>
      </c>
      <c r="I34" s="133"/>
      <c r="J34" s="133">
        <f t="shared" si="3"/>
        <v>67.400000000000006</v>
      </c>
      <c r="K34" s="134">
        <v>-4.3334174121101299E-4</v>
      </c>
      <c r="L34" s="134">
        <v>3.2503356267830075E-2</v>
      </c>
      <c r="M34" s="145"/>
      <c r="O34" s="220">
        <f t="shared" si="4"/>
        <v>0.1</v>
      </c>
      <c r="P34" s="146"/>
      <c r="U34" s="4" t="e">
        <f>#REF!</f>
        <v>#REF!</v>
      </c>
      <c r="V34">
        <f>Esc_6c!A47</f>
        <v>2012</v>
      </c>
      <c r="W34" s="264">
        <v>4.6100000000000002E-2</v>
      </c>
      <c r="AD34">
        <v>1981</v>
      </c>
      <c r="AE34">
        <f t="shared" si="6"/>
        <v>43</v>
      </c>
      <c r="AF34" s="49">
        <v>0.13</v>
      </c>
    </row>
    <row r="35" spans="1:32" x14ac:dyDescent="0.25">
      <c r="A35" s="77">
        <v>2013</v>
      </c>
      <c r="B35" s="135">
        <v>3.8641650498257851E-2</v>
      </c>
      <c r="C35" s="132">
        <f>IF(A35=Inputs!$P$1,1,IF(A35&lt;Inputs!$P$1,C36/(1+B35),C34*(1+B35)))</f>
        <v>0.85643590576067685</v>
      </c>
      <c r="D35" s="163">
        <f>Inputs!$C$32*UF*C35</f>
        <v>393960.51664991135</v>
      </c>
      <c r="E35" s="164">
        <f t="shared" si="0"/>
        <v>1006141.1593498781</v>
      </c>
      <c r="F35" s="164">
        <f t="shared" si="1"/>
        <v>755279.46610695694</v>
      </c>
      <c r="G35" s="164">
        <f t="shared" si="2"/>
        <v>755279.46610695694</v>
      </c>
      <c r="H35" s="133">
        <v>70.3</v>
      </c>
      <c r="I35" s="133"/>
      <c r="J35" s="133">
        <f t="shared" si="3"/>
        <v>70.3</v>
      </c>
      <c r="K35" s="134">
        <v>4.7354168393394902E-2</v>
      </c>
      <c r="L35" s="134">
        <v>3.8641650498257851E-2</v>
      </c>
      <c r="M35" s="145"/>
      <c r="O35" s="220">
        <f t="shared" si="4"/>
        <v>0.1</v>
      </c>
      <c r="P35" s="146"/>
      <c r="U35" s="4" t="e">
        <f>#REF!</f>
        <v>#REF!</v>
      </c>
      <c r="V35">
        <f>Esc_6c!A48</f>
        <v>2013</v>
      </c>
      <c r="W35" s="264">
        <v>4.6799999999999994E-2</v>
      </c>
      <c r="AD35">
        <v>1982</v>
      </c>
      <c r="AE35">
        <f t="shared" si="6"/>
        <v>42</v>
      </c>
      <c r="AF35" s="49">
        <v>0.13</v>
      </c>
    </row>
    <row r="36" spans="1:32" x14ac:dyDescent="0.25">
      <c r="A36" s="77">
        <v>2014</v>
      </c>
      <c r="B36" s="135">
        <v>1.7653329682044694E-2</v>
      </c>
      <c r="C36" s="132">
        <f>IF(A36=Inputs!$P$1,1,IF(A36&lt;Inputs!$P$1,C37/(1+B36),C35*(1+B36)))</f>
        <v>0.88953000270523985</v>
      </c>
      <c r="D36" s="163">
        <f>Inputs!$C$32*UF*C36</f>
        <v>409183.80124441034</v>
      </c>
      <c r="E36" s="164">
        <f t="shared" si="0"/>
        <v>1023902.9009425561</v>
      </c>
      <c r="F36" s="164">
        <f t="shared" si="1"/>
        <v>768612.66352422175</v>
      </c>
      <c r="G36" s="164">
        <f t="shared" si="2"/>
        <v>768612.66352422175</v>
      </c>
      <c r="H36" s="133">
        <v>72.3</v>
      </c>
      <c r="I36" s="133"/>
      <c r="J36" s="133">
        <f t="shared" si="3"/>
        <v>72.3</v>
      </c>
      <c r="K36" s="134">
        <v>8.0552230258533974E-2</v>
      </c>
      <c r="L36" s="134">
        <v>1.7653329682044694E-2</v>
      </c>
      <c r="M36" s="145"/>
      <c r="O36" s="220">
        <f t="shared" si="4"/>
        <v>0.1</v>
      </c>
      <c r="P36" s="146"/>
      <c r="U36" s="4" t="e">
        <f>#REF!</f>
        <v>#REF!</v>
      </c>
      <c r="V36">
        <f>Esc_6c!A49</f>
        <v>2014</v>
      </c>
      <c r="W36" s="264">
        <v>0.09</v>
      </c>
      <c r="AD36">
        <v>1983</v>
      </c>
      <c r="AE36">
        <f t="shared" si="6"/>
        <v>41</v>
      </c>
      <c r="AF36" s="49">
        <v>0.13</v>
      </c>
    </row>
    <row r="37" spans="1:32" x14ac:dyDescent="0.25">
      <c r="A37" s="77">
        <v>2015</v>
      </c>
      <c r="B37" s="135">
        <v>1.7769961173259352E-2</v>
      </c>
      <c r="C37" s="132">
        <f>IF(A37=Inputs!$P$1,1,IF(A37&lt;Inputs!$P$1,C38/(1+B37),C36*(1+B37)))</f>
        <v>0.90523316910506557</v>
      </c>
      <c r="D37" s="163">
        <f>Inputs!$C$32*UF*C37</f>
        <v>416407.25778833014</v>
      </c>
      <c r="E37" s="164">
        <f t="shared" si="0"/>
        <v>1042097.6157374929</v>
      </c>
      <c r="F37" s="164">
        <f t="shared" si="1"/>
        <v>782270.88071232266</v>
      </c>
      <c r="G37" s="164">
        <f t="shared" si="2"/>
        <v>782270.88071232266</v>
      </c>
      <c r="H37" s="133">
        <v>73.2</v>
      </c>
      <c r="I37" s="133"/>
      <c r="J37" s="133">
        <f t="shared" si="3"/>
        <v>73.2</v>
      </c>
      <c r="K37" s="134">
        <v>5.9161815039331378E-2</v>
      </c>
      <c r="L37" s="134">
        <v>1.7769961173259352E-2</v>
      </c>
      <c r="M37" s="145"/>
      <c r="O37" s="220">
        <f t="shared" si="4"/>
        <v>0.1</v>
      </c>
      <c r="P37" s="146"/>
      <c r="U37" s="4" t="e">
        <f>#REF!</f>
        <v>#REF!</v>
      </c>
      <c r="V37">
        <f>Esc_6c!A50</f>
        <v>2015</v>
      </c>
      <c r="W37" s="264">
        <v>2.1600000000000001E-2</v>
      </c>
      <c r="AD37">
        <v>1984</v>
      </c>
      <c r="AE37">
        <f t="shared" si="6"/>
        <v>40</v>
      </c>
      <c r="AF37" s="49">
        <v>0.13</v>
      </c>
    </row>
    <row r="38" spans="1:32" x14ac:dyDescent="0.25">
      <c r="A38" s="77">
        <v>2016</v>
      </c>
      <c r="B38" s="135">
        <v>1.394698822485152E-2</v>
      </c>
      <c r="C38" s="132">
        <f>IF(A38=Inputs!$P$1,1,IF(A38&lt;Inputs!$P$1,C39/(1+B38),C37*(1+B38)))</f>
        <v>0.92131912737280908</v>
      </c>
      <c r="D38" s="163">
        <f>Inputs!$C$32*UF*C38</f>
        <v>423806.79859149217</v>
      </c>
      <c r="E38" s="164">
        <f t="shared" si="0"/>
        <v>1056631.7389133296</v>
      </c>
      <c r="F38" s="164">
        <f t="shared" si="1"/>
        <v>793181.20347426168</v>
      </c>
      <c r="G38" s="164">
        <f t="shared" si="2"/>
        <v>793181.20347426168</v>
      </c>
      <c r="H38" s="133">
        <v>74.3</v>
      </c>
      <c r="I38" s="133"/>
      <c r="J38" s="133">
        <f t="shared" si="3"/>
        <v>74.3</v>
      </c>
      <c r="K38" s="134">
        <v>-1.189308565018754E-3</v>
      </c>
      <c r="L38" s="134">
        <v>1.394698822485152E-2</v>
      </c>
      <c r="M38" s="145"/>
      <c r="O38" s="220">
        <f t="shared" si="4"/>
        <v>0.1</v>
      </c>
      <c r="P38" s="146"/>
      <c r="U38" s="4" t="e">
        <f>#REF!</f>
        <v>#REF!</v>
      </c>
      <c r="V38">
        <f>Esc_6c!A51</f>
        <v>2016</v>
      </c>
      <c r="W38" s="264">
        <v>1.7399999999999999E-2</v>
      </c>
      <c r="AD38">
        <v>1985</v>
      </c>
      <c r="AE38">
        <f t="shared" si="6"/>
        <v>39</v>
      </c>
      <c r="AF38" s="49">
        <v>0.05</v>
      </c>
    </row>
    <row r="39" spans="1:32" x14ac:dyDescent="0.25">
      <c r="A39" s="77">
        <v>2017</v>
      </c>
      <c r="B39" s="135">
        <v>2.4073832628657588E-2</v>
      </c>
      <c r="C39" s="132">
        <f>IF(A39=Inputs!$P$1,1,IF(A39&lt;Inputs!$P$1,C40/(1+B39),C38*(1+B39)))</f>
        <v>0.93416875439360814</v>
      </c>
      <c r="D39" s="163">
        <f>Inputs!$C$32*UF*C39</f>
        <v>429717.62702105974</v>
      </c>
      <c r="E39" s="164">
        <f t="shared" si="0"/>
        <v>1082068.9145460564</v>
      </c>
      <c r="F39" s="164">
        <f t="shared" si="1"/>
        <v>812276.11501089821</v>
      </c>
      <c r="G39" s="164">
        <f t="shared" si="2"/>
        <v>812276.11501089821</v>
      </c>
      <c r="H39" s="133">
        <v>75.7</v>
      </c>
      <c r="I39" s="133"/>
      <c r="J39" s="133">
        <f t="shared" si="3"/>
        <v>75.7</v>
      </c>
      <c r="K39" s="134">
        <v>7.1574993096297668E-2</v>
      </c>
      <c r="L39" s="134">
        <v>2.4073832628657588E-2</v>
      </c>
      <c r="M39" s="145"/>
      <c r="O39" s="220">
        <f t="shared" si="4"/>
        <v>0.1</v>
      </c>
      <c r="P39" s="146"/>
      <c r="U39" s="4" t="e">
        <f>#REF!</f>
        <v>#REF!</v>
      </c>
      <c r="V39">
        <f>Esc_6c!A52</f>
        <v>2017</v>
      </c>
      <c r="W39" s="264">
        <v>7.51E-2</v>
      </c>
      <c r="AD39">
        <v>1986</v>
      </c>
      <c r="AE39">
        <f t="shared" si="6"/>
        <v>38</v>
      </c>
      <c r="AF39" s="49">
        <v>0.05</v>
      </c>
    </row>
    <row r="40" spans="1:32" x14ac:dyDescent="0.25">
      <c r="A40" s="77">
        <v>2018</v>
      </c>
      <c r="B40" s="135">
        <v>1.8933641315715066E-2</v>
      </c>
      <c r="C40" s="132">
        <f>IF(A40=Inputs!$P$1,1,IF(A40&lt;Inputs!$P$1,C41/(1+B40),C39*(1+B40)))</f>
        <v>0.95665777663380136</v>
      </c>
      <c r="D40" s="163">
        <f>Inputs!$C$32*UF*C40</f>
        <v>440062.57725154865</v>
      </c>
      <c r="E40" s="164">
        <f t="shared" si="0"/>
        <v>1102556.4192529565</v>
      </c>
      <c r="F40" s="164">
        <f t="shared" si="1"/>
        <v>827655.45962183713</v>
      </c>
      <c r="G40" s="164">
        <f t="shared" si="2"/>
        <v>827655.45962183713</v>
      </c>
      <c r="H40" s="133">
        <v>78.3</v>
      </c>
      <c r="I40" s="133"/>
      <c r="J40" s="133">
        <f t="shared" si="3"/>
        <v>78.3</v>
      </c>
      <c r="K40" s="134">
        <v>1.3019393232392096E-2</v>
      </c>
      <c r="L40" s="134">
        <v>1.8933641315715066E-2</v>
      </c>
      <c r="M40" s="145"/>
      <c r="O40" s="220">
        <f t="shared" si="4"/>
        <v>0.1</v>
      </c>
      <c r="P40" s="146"/>
      <c r="U40" s="4" t="e">
        <f>#REF!</f>
        <v>#REF!</v>
      </c>
      <c r="V40">
        <f>Esc_6c!A53</f>
        <v>2018</v>
      </c>
      <c r="W40" s="264">
        <v>-8.8999999999999999E-3</v>
      </c>
      <c r="AD40">
        <v>1987</v>
      </c>
      <c r="AE40">
        <f t="shared" si="6"/>
        <v>37</v>
      </c>
      <c r="AF40" s="49">
        <v>0.05</v>
      </c>
    </row>
    <row r="41" spans="1:32" x14ac:dyDescent="0.25">
      <c r="A41" s="77">
        <v>2019</v>
      </c>
      <c r="B41" s="135">
        <v>2.0491766700879266E-2</v>
      </c>
      <c r="C41" s="132">
        <f>IF(A41=Inputs!$P$1,1,IF(A41&lt;Inputs!$P$1,C42/(1+B41),C40*(1+B41)))</f>
        <v>0.97477079183847526</v>
      </c>
      <c r="D41" s="163">
        <f>Inputs!$C$32*UF*C41</f>
        <v>448394.56424569862</v>
      </c>
      <c r="E41" s="164">
        <f t="shared" si="0"/>
        <v>1125149.748170845</v>
      </c>
      <c r="F41" s="164">
        <f t="shared" si="1"/>
        <v>844615.58220911678</v>
      </c>
      <c r="G41" s="164">
        <f t="shared" si="2"/>
        <v>844615.58220911678</v>
      </c>
      <c r="H41" s="133">
        <v>79.2</v>
      </c>
      <c r="I41" s="133"/>
      <c r="J41" s="133">
        <f t="shared" si="3"/>
        <v>79.2</v>
      </c>
      <c r="K41" s="134">
        <v>8.4658744562367216E-2</v>
      </c>
      <c r="L41" s="134">
        <v>2.0491766700879266E-2</v>
      </c>
      <c r="M41" s="145"/>
      <c r="O41" s="220">
        <f t="shared" si="4"/>
        <v>0.1</v>
      </c>
      <c r="P41" s="146"/>
      <c r="U41" s="4" t="e">
        <f>#REF!</f>
        <v>#REF!</v>
      </c>
      <c r="V41">
        <f>Esc_6c!A54</f>
        <v>2019</v>
      </c>
      <c r="W41" s="264">
        <v>0.14960000000000001</v>
      </c>
      <c r="AD41">
        <v>1988</v>
      </c>
      <c r="AE41">
        <f t="shared" si="6"/>
        <v>36</v>
      </c>
      <c r="AF41" s="49">
        <v>0.05</v>
      </c>
    </row>
    <row r="42" spans="1:32" x14ac:dyDescent="0.25">
      <c r="A42" s="77">
        <v>2020</v>
      </c>
      <c r="B42" s="135">
        <v>5.8421738484006891E-3</v>
      </c>
      <c r="C42" s="132">
        <f>IF(A42=Inputs!$P$1,1,IF(A42&lt;Inputs!$P$1,C43/(1+B42),C41*(1+B42)))</f>
        <v>0.99474556749166065</v>
      </c>
      <c r="D42" s="163">
        <f>Inputs!$C$32*UF*C42</f>
        <v>457582.96104616392</v>
      </c>
      <c r="E42" s="164">
        <f t="shared" si="0"/>
        <v>1131723.0686051433</v>
      </c>
      <c r="F42" s="164">
        <f t="shared" si="1"/>
        <v>849549.97327545064</v>
      </c>
      <c r="G42" s="164">
        <f t="shared" si="2"/>
        <v>849549.97327545064</v>
      </c>
      <c r="H42" s="133">
        <v>80.2</v>
      </c>
      <c r="I42" s="133"/>
      <c r="J42" s="133">
        <f t="shared" si="3"/>
        <v>80.2</v>
      </c>
      <c r="K42" s="134">
        <v>4.6633402485945386E-2</v>
      </c>
      <c r="L42" s="134">
        <v>5.8421738484006891E-3</v>
      </c>
      <c r="M42" s="145"/>
      <c r="O42" s="220">
        <f t="shared" si="4"/>
        <v>0.1</v>
      </c>
      <c r="P42" s="146"/>
      <c r="U42" s="4" t="e">
        <f>#REF!</f>
        <v>#REF!</v>
      </c>
      <c r="V42">
        <f>Esc_6c!A55</f>
        <v>2020</v>
      </c>
      <c r="W42" s="264">
        <v>4.3200000000000002E-2</v>
      </c>
      <c r="AD42">
        <v>1989</v>
      </c>
      <c r="AE42">
        <f t="shared" si="6"/>
        <v>35</v>
      </c>
      <c r="AF42" s="49">
        <v>0.05</v>
      </c>
    </row>
    <row r="43" spans="1:32" x14ac:dyDescent="0.25">
      <c r="A43" s="77">
        <v>2021</v>
      </c>
      <c r="B43" s="135">
        <v>1.0773069933657453E-2</v>
      </c>
      <c r="C43" s="132">
        <f>IF(A43=Inputs!$P$1,1,IF(A43&lt;Inputs!$P$1,C44/(1+B43),C42*(1+B43)))</f>
        <v>1.000557044031873</v>
      </c>
      <c r="D43" s="163">
        <f>Inputs!$C$32*UF*C43</f>
        <v>460256.24025466153</v>
      </c>
      <c r="E43" s="164">
        <f t="shared" si="0"/>
        <v>1143915.2003687599</v>
      </c>
      <c r="F43" s="164">
        <f t="shared" si="1"/>
        <v>858702.23454968387</v>
      </c>
      <c r="G43" s="164">
        <f t="shared" si="2"/>
        <v>858702.23454968387</v>
      </c>
      <c r="H43" s="133">
        <v>81.599999999999994</v>
      </c>
      <c r="I43" s="133"/>
      <c r="J43" s="133">
        <f t="shared" si="3"/>
        <v>81.599999999999994</v>
      </c>
      <c r="K43" s="134">
        <v>3.2893601458736876E-2</v>
      </c>
      <c r="L43" s="134">
        <v>1.0773069933657453E-2</v>
      </c>
      <c r="M43" s="145"/>
      <c r="O43" s="220">
        <f t="shared" si="4"/>
        <v>0.1</v>
      </c>
      <c r="P43" s="146"/>
      <c r="U43" s="4" t="e">
        <f>#REF!</f>
        <v>#REF!</v>
      </c>
      <c r="V43">
        <f>Esc_6c!A56</f>
        <v>2021</v>
      </c>
      <c r="W43" s="264">
        <v>-2.35E-2</v>
      </c>
      <c r="AD43">
        <v>1990</v>
      </c>
      <c r="AE43">
        <f t="shared" si="6"/>
        <v>34</v>
      </c>
      <c r="AF43" s="49">
        <v>0</v>
      </c>
    </row>
    <row r="44" spans="1:32" x14ac:dyDescent="0.25">
      <c r="A44" s="77">
        <v>2022</v>
      </c>
      <c r="B44" s="131">
        <v>-2.3416343686346597E-2</v>
      </c>
      <c r="C44" s="132">
        <f>IF(A44=Inputs!$P$1,1,IF(A44&lt;Inputs!$P$1,C45/(1+B44),C43*(1+B44)))</f>
        <v>1.0113361150398419</v>
      </c>
      <c r="D44" s="163">
        <f>Inputs!$C$32*UF*C44</f>
        <v>465214.61291832727</v>
      </c>
      <c r="E44" s="164">
        <f t="shared" ref="E44:G44" si="7">E45/(1+$B45)</f>
        <v>1117128.888888889</v>
      </c>
      <c r="F44" s="164">
        <f t="shared" si="7"/>
        <v>838594.56790123461</v>
      </c>
      <c r="G44" s="164">
        <f t="shared" si="7"/>
        <v>838594.56790123461</v>
      </c>
      <c r="H44" s="133">
        <v>81.599999999999994</v>
      </c>
      <c r="I44" s="133"/>
      <c r="J44" s="133">
        <f t="shared" si="3"/>
        <v>81.599999999999994</v>
      </c>
      <c r="K44" s="133"/>
      <c r="L44" s="134">
        <v>-2.3416343686346597E-2</v>
      </c>
      <c r="M44" s="133">
        <v>122.6</v>
      </c>
      <c r="O44" s="220">
        <f t="shared" si="4"/>
        <v>0.1</v>
      </c>
      <c r="P44" s="146"/>
      <c r="U44" s="4" t="e">
        <f>#REF!</f>
        <v>#REF!</v>
      </c>
      <c r="V44">
        <f>Esc_6c!A57</f>
        <v>2022</v>
      </c>
      <c r="W44" s="264">
        <v>-9.2100000000000015E-2</v>
      </c>
      <c r="AD44">
        <v>1991</v>
      </c>
      <c r="AE44">
        <f t="shared" si="6"/>
        <v>33</v>
      </c>
      <c r="AF44" s="49">
        <v>0</v>
      </c>
    </row>
    <row r="45" spans="1:32" x14ac:dyDescent="0.25">
      <c r="A45">
        <v>2023</v>
      </c>
      <c r="B45" s="279">
        <v>1.2500000000000001E-2</v>
      </c>
      <c r="C45" s="3">
        <f>IF(A45=Inputs!$P$1,1,IF(A45&lt;Inputs!$P$1,C46/(1+B45),C44*(1+B45)))</f>
        <v>0.98765432098765438</v>
      </c>
      <c r="D45" s="163">
        <f>Inputs!$C$32*UF*C45</f>
        <v>454320.98765432101</v>
      </c>
      <c r="E45" s="165">
        <f>Inputs!$C$33*UF</f>
        <v>1131093</v>
      </c>
      <c r="F45" s="165">
        <f>Inputs!$C$34*UF</f>
        <v>849077</v>
      </c>
      <c r="G45" s="165">
        <f>Inputs!$C$34*UF</f>
        <v>849077</v>
      </c>
      <c r="H45" s="133">
        <v>81.599999999999994</v>
      </c>
      <c r="I45" s="6"/>
      <c r="J45" s="133">
        <f t="shared" si="3"/>
        <v>81.599999999999994</v>
      </c>
      <c r="K45" s="6"/>
      <c r="L45" s="7">
        <v>1.1362517955594509E-2</v>
      </c>
      <c r="M45" s="133">
        <v>122.6</v>
      </c>
      <c r="O45" s="220">
        <f t="shared" si="4"/>
        <v>0.1</v>
      </c>
      <c r="P45" s="146"/>
      <c r="U45" s="4" t="e">
        <f>#REF!</f>
        <v>#REF!</v>
      </c>
      <c r="V45" s="265">
        <f>Esc_6c!A58</f>
        <v>2023</v>
      </c>
      <c r="W45" s="266">
        <v>3.3799999999999997E-2</v>
      </c>
      <c r="X45" t="s">
        <v>250</v>
      </c>
      <c r="AD45">
        <v>1992</v>
      </c>
      <c r="AE45">
        <f t="shared" si="6"/>
        <v>32</v>
      </c>
      <c r="AF45" s="49">
        <v>0</v>
      </c>
    </row>
    <row r="46" spans="1:32" x14ac:dyDescent="0.25">
      <c r="A46" s="117">
        <v>2024</v>
      </c>
      <c r="B46" s="118">
        <f>B45</f>
        <v>1.2500000000000001E-2</v>
      </c>
      <c r="C46" s="119">
        <f>IF(A46=Inputs!$P$1,1,IF(A46&lt;Inputs!$P$1,C47/(1+B46),C45*(1+B46)))</f>
        <v>1</v>
      </c>
      <c r="D46" s="163">
        <f>Inputs!$C$32*UF*C46</f>
        <v>460000</v>
      </c>
      <c r="E46" s="149">
        <f>E45*(1+$B46)</f>
        <v>1145231.6624999999</v>
      </c>
      <c r="F46" s="149">
        <f>F45*(1+$B46)</f>
        <v>859690.46249999991</v>
      </c>
      <c r="G46" s="149">
        <f t="shared" ref="E46:G109" si="8">G45*(1+$B46)</f>
        <v>859690.46249999991</v>
      </c>
      <c r="H46" s="120">
        <f t="shared" ref="H46:H109" si="9">H45*(1+IF(B46&lt;0,0,B46))</f>
        <v>82.61999999999999</v>
      </c>
      <c r="I46" s="120">
        <f>M46</f>
        <v>124.13249999999999</v>
      </c>
      <c r="J46" s="120">
        <f>H46</f>
        <v>82.61999999999999</v>
      </c>
      <c r="K46" s="120"/>
      <c r="L46" s="121">
        <v>2.0913439576895954E-2</v>
      </c>
      <c r="M46" s="145">
        <f t="shared" ref="M46:M109" si="10">M45*(1+IF(B46&lt;0,0,B46))</f>
        <v>124.13249999999999</v>
      </c>
      <c r="O46" s="221">
        <v>0.1</v>
      </c>
      <c r="P46" s="146"/>
      <c r="Q46" s="147"/>
      <c r="U46" s="4" t="e">
        <f>#REF!</f>
        <v>#REF!</v>
      </c>
      <c r="V46">
        <v>2024</v>
      </c>
      <c r="W46" s="4">
        <f>W45</f>
        <v>3.3799999999999997E-2</v>
      </c>
      <c r="X46" t="s">
        <v>251</v>
      </c>
      <c r="AD46">
        <v>1993</v>
      </c>
      <c r="AE46">
        <f t="shared" si="6"/>
        <v>31</v>
      </c>
      <c r="AF46" s="49">
        <v>0</v>
      </c>
    </row>
    <row r="47" spans="1:32" x14ac:dyDescent="0.25">
      <c r="A47">
        <v>2025</v>
      </c>
      <c r="B47" s="4">
        <f t="shared" ref="B47:B110" si="11">B46</f>
        <v>1.2500000000000001E-2</v>
      </c>
      <c r="C47" s="3">
        <f>IF(A47=Inputs!$P$1,1,IF(A47&lt;Inputs!$P$1,C48/(1+B47),C46*(1+B47)))</f>
        <v>1.0125</v>
      </c>
      <c r="D47" s="163">
        <f>Inputs!$C$32*UF*C47</f>
        <v>465750</v>
      </c>
      <c r="E47" s="148">
        <f t="shared" si="8"/>
        <v>1159547.0582812498</v>
      </c>
      <c r="F47" s="148">
        <f>F46*(1+$B47)</f>
        <v>870436.59328124986</v>
      </c>
      <c r="G47" s="148">
        <f t="shared" si="8"/>
        <v>870436.59328124986</v>
      </c>
      <c r="H47" s="6">
        <f t="shared" si="9"/>
        <v>83.652749999999983</v>
      </c>
      <c r="I47" s="122">
        <f>I46*(1+IF(B47&lt;0,0,B47))</f>
        <v>125.68415624999999</v>
      </c>
      <c r="J47" s="120">
        <v>90</v>
      </c>
      <c r="K47" s="6"/>
      <c r="L47" s="7">
        <v>1.915742378734886E-2</v>
      </c>
      <c r="M47" s="145">
        <f t="shared" si="10"/>
        <v>125.68415624999999</v>
      </c>
      <c r="O47" s="220">
        <f t="shared" ref="O47:O110" si="12">O$46</f>
        <v>0.1</v>
      </c>
      <c r="P47" s="146"/>
      <c r="U47" s="4" t="e">
        <f>#REF!</f>
        <v>#REF!</v>
      </c>
      <c r="AD47">
        <v>1994</v>
      </c>
      <c r="AE47">
        <f t="shared" si="6"/>
        <v>30</v>
      </c>
      <c r="AF47" s="49">
        <v>0</v>
      </c>
    </row>
    <row r="48" spans="1:32" x14ac:dyDescent="0.25">
      <c r="A48">
        <v>2026</v>
      </c>
      <c r="B48" s="4">
        <f t="shared" si="11"/>
        <v>1.2500000000000001E-2</v>
      </c>
      <c r="C48" s="3">
        <f>IF(A48=Inputs!$P$1,1,IF(A48&lt;Inputs!$P$1,C49/(1+B48),C47*(1+B48)))</f>
        <v>1.02515625</v>
      </c>
      <c r="D48" s="163">
        <f>Inputs!$C$32*UF*C48</f>
        <v>471571.875</v>
      </c>
      <c r="E48" s="148">
        <f t="shared" si="8"/>
        <v>1174041.3965097654</v>
      </c>
      <c r="F48" s="148">
        <f t="shared" si="8"/>
        <v>881317.05069726543</v>
      </c>
      <c r="G48" s="148">
        <f t="shared" si="8"/>
        <v>881317.05069726543</v>
      </c>
      <c r="H48" s="6">
        <f t="shared" si="9"/>
        <v>84.698409374999983</v>
      </c>
      <c r="I48" s="122">
        <f t="shared" ref="I48:I111" si="13">I47*(1+IF(B48&lt;0,0,B48))</f>
        <v>127.25520820312498</v>
      </c>
      <c r="J48" s="120">
        <v>100</v>
      </c>
      <c r="K48" s="6"/>
      <c r="L48" s="7">
        <v>1.61171975001555E-2</v>
      </c>
      <c r="M48" s="145">
        <f t="shared" si="10"/>
        <v>127.25520820312498</v>
      </c>
      <c r="O48" s="220">
        <f t="shared" si="12"/>
        <v>0.1</v>
      </c>
      <c r="P48" s="146"/>
      <c r="U48" s="4" t="e">
        <f>#REF!</f>
        <v>#REF!</v>
      </c>
      <c r="AD48">
        <v>1995</v>
      </c>
      <c r="AE48">
        <f t="shared" si="6"/>
        <v>29</v>
      </c>
      <c r="AF48" s="49">
        <v>0</v>
      </c>
    </row>
    <row r="49" spans="1:32" x14ac:dyDescent="0.25">
      <c r="A49">
        <v>2027</v>
      </c>
      <c r="B49" s="4">
        <f t="shared" si="11"/>
        <v>1.2500000000000001E-2</v>
      </c>
      <c r="C49" s="3">
        <f>IF(A49=Inputs!$P$1,1,IF(A49&lt;Inputs!$P$1,C50/(1+B49),C48*(1+B49)))</f>
        <v>1.0379707031249998</v>
      </c>
      <c r="D49" s="163">
        <f>Inputs!$C$32*UF*C49</f>
        <v>477466.52343749994</v>
      </c>
      <c r="E49" s="148">
        <f t="shared" si="8"/>
        <v>1188716.9139661375</v>
      </c>
      <c r="F49" s="148">
        <f t="shared" si="8"/>
        <v>892333.51383098122</v>
      </c>
      <c r="G49" s="148">
        <f t="shared" si="8"/>
        <v>892333.51383098122</v>
      </c>
      <c r="H49" s="6">
        <f t="shared" si="9"/>
        <v>85.757139492187477</v>
      </c>
      <c r="I49" s="122">
        <f t="shared" si="13"/>
        <v>128.84589830566404</v>
      </c>
      <c r="J49" s="120">
        <v>110</v>
      </c>
      <c r="K49" s="6"/>
      <c r="L49" s="7">
        <v>1.5820647604315688E-2</v>
      </c>
      <c r="M49" s="145">
        <f t="shared" si="10"/>
        <v>128.84589830566404</v>
      </c>
      <c r="O49" s="220">
        <f t="shared" si="12"/>
        <v>0.1</v>
      </c>
      <c r="P49" s="146"/>
      <c r="U49" s="4" t="e">
        <f>#REF!</f>
        <v>#REF!</v>
      </c>
      <c r="AD49">
        <v>1996</v>
      </c>
      <c r="AE49">
        <f t="shared" si="6"/>
        <v>28</v>
      </c>
      <c r="AF49" s="49">
        <v>0</v>
      </c>
    </row>
    <row r="50" spans="1:32" x14ac:dyDescent="0.25">
      <c r="A50">
        <v>2028</v>
      </c>
      <c r="B50" s="4">
        <f t="shared" si="11"/>
        <v>1.2500000000000001E-2</v>
      </c>
      <c r="C50" s="3">
        <f>IF(A50=Inputs!$P$1,1,IF(A50&lt;Inputs!$P$1,C51/(1+B50),C49*(1+B50)))</f>
        <v>1.0509453369140622</v>
      </c>
      <c r="D50" s="163">
        <f>Inputs!$C$32*UF*C50</f>
        <v>483434.85498046863</v>
      </c>
      <c r="E50" s="148">
        <f t="shared" si="8"/>
        <v>1203575.875390714</v>
      </c>
      <c r="F50" s="148">
        <f t="shared" si="8"/>
        <v>903487.6827538684</v>
      </c>
      <c r="G50" s="148">
        <f t="shared" si="8"/>
        <v>903487.6827538684</v>
      </c>
      <c r="H50" s="6">
        <f t="shared" si="9"/>
        <v>86.829103735839823</v>
      </c>
      <c r="I50" s="122">
        <f t="shared" si="13"/>
        <v>130.45647203448482</v>
      </c>
      <c r="J50" s="120">
        <v>122.6</v>
      </c>
      <c r="K50" s="6"/>
      <c r="L50" s="7">
        <v>1.5524097708475876E-2</v>
      </c>
      <c r="M50" s="145">
        <f t="shared" si="10"/>
        <v>130.45647203448482</v>
      </c>
      <c r="O50" s="220">
        <f t="shared" si="12"/>
        <v>0.1</v>
      </c>
      <c r="P50" s="146"/>
      <c r="U50" s="4" t="e">
        <f>#REF!</f>
        <v>#REF!</v>
      </c>
      <c r="AD50">
        <v>1997</v>
      </c>
      <c r="AE50">
        <f t="shared" si="6"/>
        <v>27</v>
      </c>
      <c r="AF50" s="49">
        <v>0</v>
      </c>
    </row>
    <row r="51" spans="1:32" x14ac:dyDescent="0.25">
      <c r="A51">
        <v>2029</v>
      </c>
      <c r="B51" s="4">
        <f t="shared" si="11"/>
        <v>1.2500000000000001E-2</v>
      </c>
      <c r="C51" s="3">
        <f>IF(A51=Inputs!$P$1,1,IF(A51&lt;Inputs!$P$1,C52/(1+B51),C50*(1+B51)))</f>
        <v>1.0640821536254879</v>
      </c>
      <c r="D51" s="163">
        <f>Inputs!$C$32*UF*C51</f>
        <v>489477.79066772439</v>
      </c>
      <c r="E51" s="148">
        <f t="shared" si="8"/>
        <v>1218620.5738330979</v>
      </c>
      <c r="F51" s="148">
        <f t="shared" si="8"/>
        <v>914781.27878829173</v>
      </c>
      <c r="G51" s="148">
        <f t="shared" si="8"/>
        <v>914781.27878829173</v>
      </c>
      <c r="H51" s="6">
        <f t="shared" si="9"/>
        <v>87.914467532537813</v>
      </c>
      <c r="I51" s="122">
        <f t="shared" si="13"/>
        <v>132.08717793491587</v>
      </c>
      <c r="J51" s="122">
        <f>M51</f>
        <v>132.08717793491587</v>
      </c>
      <c r="K51" s="6"/>
      <c r="L51" s="7">
        <v>1.5227547812636064E-2</v>
      </c>
      <c r="M51" s="145">
        <f t="shared" si="10"/>
        <v>132.08717793491587</v>
      </c>
      <c r="O51" s="220">
        <f t="shared" si="12"/>
        <v>0.1</v>
      </c>
      <c r="P51" s="146"/>
      <c r="U51" s="4" t="e">
        <f>#REF!</f>
        <v>#REF!</v>
      </c>
      <c r="AD51">
        <v>1998</v>
      </c>
      <c r="AE51">
        <f t="shared" si="6"/>
        <v>26</v>
      </c>
      <c r="AF51" s="49">
        <v>0</v>
      </c>
    </row>
    <row r="52" spans="1:32" x14ac:dyDescent="0.25">
      <c r="A52">
        <v>2030</v>
      </c>
      <c r="B52" s="4">
        <f t="shared" si="11"/>
        <v>1.2500000000000001E-2</v>
      </c>
      <c r="C52" s="3">
        <f>IF(A52=Inputs!$P$1,1,IF(A52&lt;Inputs!$P$1,C53/(1+B52),C51*(1+B52)))</f>
        <v>1.0773831805458065</v>
      </c>
      <c r="D52" s="163">
        <f>Inputs!$C$32*UF*C52</f>
        <v>495596.26305107097</v>
      </c>
      <c r="E52" s="148">
        <f t="shared" si="8"/>
        <v>1233853.3310060117</v>
      </c>
      <c r="F52" s="148">
        <f t="shared" si="8"/>
        <v>926216.04477314535</v>
      </c>
      <c r="G52" s="148">
        <f t="shared" si="8"/>
        <v>926216.04477314535</v>
      </c>
      <c r="H52" s="6">
        <f t="shared" si="9"/>
        <v>89.013398376694525</v>
      </c>
      <c r="I52" s="122">
        <f t="shared" si="13"/>
        <v>133.73826765910232</v>
      </c>
      <c r="J52" s="122">
        <f t="shared" ref="J52:J83" si="14">J51*(1+B51)</f>
        <v>133.73826765910232</v>
      </c>
      <c r="K52" s="6"/>
      <c r="L52" s="7">
        <v>1.4930997916796251E-2</v>
      </c>
      <c r="M52" s="145">
        <f t="shared" si="10"/>
        <v>133.73826765910232</v>
      </c>
      <c r="O52" s="220">
        <f t="shared" si="12"/>
        <v>0.1</v>
      </c>
      <c r="P52" s="146"/>
      <c r="U52" s="4" t="e">
        <f>#REF!</f>
        <v>#REF!</v>
      </c>
      <c r="AD52">
        <v>1999</v>
      </c>
      <c r="AE52">
        <f t="shared" si="6"/>
        <v>25</v>
      </c>
      <c r="AF52" s="49">
        <v>0</v>
      </c>
    </row>
    <row r="53" spans="1:32" x14ac:dyDescent="0.25">
      <c r="A53">
        <v>2031</v>
      </c>
      <c r="B53" s="4">
        <f t="shared" si="11"/>
        <v>1.2500000000000001E-2</v>
      </c>
      <c r="C53" s="3">
        <f>IF(A53=Inputs!$P$1,1,IF(A53&lt;Inputs!$P$1,C54/(1+B53),C52*(1+B53)))</f>
        <v>1.0908504703026289</v>
      </c>
      <c r="D53" s="163">
        <f>Inputs!$C$32*UF*C53</f>
        <v>501791.21633920929</v>
      </c>
      <c r="E53" s="148">
        <f t="shared" si="8"/>
        <v>1249276.4976435867</v>
      </c>
      <c r="F53" s="148">
        <f t="shared" si="8"/>
        <v>937793.74533280963</v>
      </c>
      <c r="G53" s="148">
        <f t="shared" si="8"/>
        <v>937793.74533280963</v>
      </c>
      <c r="H53" s="6">
        <f t="shared" si="9"/>
        <v>90.126065856403201</v>
      </c>
      <c r="I53" s="122">
        <f t="shared" si="13"/>
        <v>135.4099960048411</v>
      </c>
      <c r="J53" s="122">
        <f t="shared" si="14"/>
        <v>135.4099960048411</v>
      </c>
      <c r="K53" s="6"/>
      <c r="L53" s="7">
        <v>1.4881998026438553E-2</v>
      </c>
      <c r="M53" s="145">
        <f t="shared" si="10"/>
        <v>135.4099960048411</v>
      </c>
      <c r="O53" s="220">
        <f t="shared" si="12"/>
        <v>0.1</v>
      </c>
      <c r="P53" s="146"/>
      <c r="U53" s="4" t="e">
        <f>#REF!</f>
        <v>#REF!</v>
      </c>
      <c r="AD53">
        <v>2000</v>
      </c>
      <c r="AE53">
        <f t="shared" si="6"/>
        <v>24</v>
      </c>
      <c r="AF53" s="49">
        <v>0</v>
      </c>
    </row>
    <row r="54" spans="1:32" x14ac:dyDescent="0.25">
      <c r="A54">
        <v>2032</v>
      </c>
      <c r="B54" s="4">
        <f t="shared" si="11"/>
        <v>1.2500000000000001E-2</v>
      </c>
      <c r="C54" s="3">
        <f>IF(A54=Inputs!$P$1,1,IF(A54&lt;Inputs!$P$1,C55/(1+B54),C53*(1+B54)))</f>
        <v>1.1044861011814118</v>
      </c>
      <c r="D54" s="163">
        <f>Inputs!$C$32*UF*C54</f>
        <v>508063.60654344939</v>
      </c>
      <c r="E54" s="148">
        <f t="shared" si="8"/>
        <v>1264892.4538641316</v>
      </c>
      <c r="F54" s="148">
        <f t="shared" si="8"/>
        <v>949516.16714946972</v>
      </c>
      <c r="G54" s="148">
        <f t="shared" si="8"/>
        <v>949516.16714946972</v>
      </c>
      <c r="H54" s="6">
        <f t="shared" si="9"/>
        <v>91.252641679608232</v>
      </c>
      <c r="I54" s="122">
        <f t="shared" si="13"/>
        <v>137.10262095490162</v>
      </c>
      <c r="J54" s="122">
        <f t="shared" si="14"/>
        <v>137.10262095490162</v>
      </c>
      <c r="K54" s="6"/>
      <c r="L54" s="7">
        <v>1.4832998136080855E-2</v>
      </c>
      <c r="M54" s="145">
        <f t="shared" si="10"/>
        <v>137.10262095490162</v>
      </c>
      <c r="O54" s="220">
        <f t="shared" si="12"/>
        <v>0.1</v>
      </c>
      <c r="P54" s="146"/>
      <c r="U54" s="4" t="e">
        <f>#REF!</f>
        <v>#REF!</v>
      </c>
      <c r="AD54">
        <v>2001</v>
      </c>
      <c r="AE54">
        <f t="shared" si="6"/>
        <v>23</v>
      </c>
      <c r="AF54" s="49">
        <v>0</v>
      </c>
    </row>
    <row r="55" spans="1:32" x14ac:dyDescent="0.25">
      <c r="A55">
        <v>2033</v>
      </c>
      <c r="B55" s="4">
        <f t="shared" si="11"/>
        <v>1.2500000000000001E-2</v>
      </c>
      <c r="C55" s="3">
        <f>IF(A55=Inputs!$P$1,1,IF(A55&lt;Inputs!$P$1,C56/(1+B55),C54*(1+B55)))</f>
        <v>1.1182921774461794</v>
      </c>
      <c r="D55" s="163">
        <f>Inputs!$C$32*UF*C55</f>
        <v>514414.40162524249</v>
      </c>
      <c r="E55" s="148">
        <f t="shared" si="8"/>
        <v>1280703.6095374331</v>
      </c>
      <c r="F55" s="148">
        <f t="shared" si="8"/>
        <v>961385.11923883809</v>
      </c>
      <c r="G55" s="148">
        <f t="shared" si="8"/>
        <v>961385.11923883809</v>
      </c>
      <c r="H55" s="6">
        <f t="shared" si="9"/>
        <v>92.393299700603336</v>
      </c>
      <c r="I55" s="122">
        <f t="shared" si="13"/>
        <v>138.8164037168379</v>
      </c>
      <c r="J55" s="122">
        <f t="shared" si="14"/>
        <v>138.8164037168379</v>
      </c>
      <c r="K55" s="6"/>
      <c r="L55" s="7">
        <v>1.4783998245723157E-2</v>
      </c>
      <c r="M55" s="145">
        <f t="shared" si="10"/>
        <v>138.8164037168379</v>
      </c>
      <c r="O55" s="220">
        <f t="shared" si="12"/>
        <v>0.1</v>
      </c>
      <c r="P55" s="146"/>
      <c r="U55" s="4" t="e">
        <f>#REF!</f>
        <v>#REF!</v>
      </c>
      <c r="AD55">
        <v>2002</v>
      </c>
      <c r="AE55">
        <f t="shared" si="6"/>
        <v>22</v>
      </c>
      <c r="AF55" s="49">
        <v>0</v>
      </c>
    </row>
    <row r="56" spans="1:32" x14ac:dyDescent="0.25">
      <c r="A56">
        <v>2034</v>
      </c>
      <c r="B56" s="4">
        <f t="shared" si="11"/>
        <v>1.2500000000000001E-2</v>
      </c>
      <c r="C56" s="3">
        <f>IF(A56=Inputs!$P$1,1,IF(A56&lt;Inputs!$P$1,C57/(1+B56),C55*(1+B56)))</f>
        <v>1.1322708296642565</v>
      </c>
      <c r="D56" s="163">
        <f>Inputs!$C$32*UF*C56</f>
        <v>520844.58164555801</v>
      </c>
      <c r="E56" s="148">
        <f t="shared" si="8"/>
        <v>1296712.404656651</v>
      </c>
      <c r="F56" s="148">
        <f t="shared" si="8"/>
        <v>973402.43322932348</v>
      </c>
      <c r="G56" s="148">
        <f t="shared" si="8"/>
        <v>973402.43322932348</v>
      </c>
      <c r="H56" s="6">
        <f t="shared" si="9"/>
        <v>93.548215946860878</v>
      </c>
      <c r="I56" s="122">
        <f t="shared" si="13"/>
        <v>140.55160876329836</v>
      </c>
      <c r="J56" s="122">
        <f t="shared" si="14"/>
        <v>140.55160876329836</v>
      </c>
      <c r="K56" s="6"/>
      <c r="L56" s="7">
        <v>1.4734998355365458E-2</v>
      </c>
      <c r="M56" s="145">
        <f t="shared" si="10"/>
        <v>140.55160876329836</v>
      </c>
      <c r="O56" s="222">
        <f t="shared" si="12"/>
        <v>0.1</v>
      </c>
      <c r="P56" s="146"/>
      <c r="U56" s="4" t="e">
        <f>#REF!</f>
        <v>#REF!</v>
      </c>
      <c r="AD56">
        <v>2003</v>
      </c>
      <c r="AE56">
        <f t="shared" si="6"/>
        <v>21</v>
      </c>
      <c r="AF56" s="49">
        <v>0</v>
      </c>
    </row>
    <row r="57" spans="1:32" x14ac:dyDescent="0.25">
      <c r="A57">
        <v>2035</v>
      </c>
      <c r="B57" s="4">
        <f t="shared" si="11"/>
        <v>1.2500000000000001E-2</v>
      </c>
      <c r="C57" s="3">
        <f>IF(A57=Inputs!$P$1,1,IF(A57&lt;Inputs!$P$1,C58/(1+B57),C56*(1+B57)))</f>
        <v>1.1464242150350596</v>
      </c>
      <c r="D57" s="163">
        <f>Inputs!$C$32*UF*C57</f>
        <v>527355.13891612738</v>
      </c>
      <c r="E57" s="148">
        <f t="shared" si="8"/>
        <v>1312921.3097148591</v>
      </c>
      <c r="F57" s="148">
        <f t="shared" si="8"/>
        <v>985569.96364469</v>
      </c>
      <c r="G57" s="148">
        <f t="shared" si="8"/>
        <v>985569.96364469</v>
      </c>
      <c r="H57" s="6">
        <f t="shared" si="9"/>
        <v>94.717568646196639</v>
      </c>
      <c r="I57" s="122">
        <f t="shared" si="13"/>
        <v>142.30850387283959</v>
      </c>
      <c r="J57" s="122">
        <f t="shared" si="14"/>
        <v>142.30850387283959</v>
      </c>
      <c r="K57" s="6"/>
      <c r="L57" s="7">
        <v>1.468599846500776E-2</v>
      </c>
      <c r="M57" s="145">
        <f t="shared" si="10"/>
        <v>142.30850387283959</v>
      </c>
      <c r="O57" s="223">
        <f t="shared" si="12"/>
        <v>0.1</v>
      </c>
      <c r="P57" s="146"/>
      <c r="U57" s="4" t="e">
        <f>#REF!</f>
        <v>#REF!</v>
      </c>
    </row>
    <row r="58" spans="1:32" x14ac:dyDescent="0.25">
      <c r="A58">
        <v>2036</v>
      </c>
      <c r="B58" s="4">
        <f t="shared" si="11"/>
        <v>1.2500000000000001E-2</v>
      </c>
      <c r="C58" s="3">
        <f>IF(A58=Inputs!$P$1,1,IF(A58&lt;Inputs!$P$1,C59/(1+B58),C57*(1+B58)))</f>
        <v>1.1607545177229979</v>
      </c>
      <c r="D58" s="163">
        <f>Inputs!$C$32*UF*C58</f>
        <v>533947.07815257902</v>
      </c>
      <c r="E58" s="148">
        <f t="shared" si="8"/>
        <v>1329332.8260862948</v>
      </c>
      <c r="F58" s="148">
        <f t="shared" si="8"/>
        <v>997889.58819024859</v>
      </c>
      <c r="G58" s="148">
        <f t="shared" si="8"/>
        <v>997889.58819024859</v>
      </c>
      <c r="H58" s="6">
        <f t="shared" si="9"/>
        <v>95.901538254274087</v>
      </c>
      <c r="I58" s="122">
        <f t="shared" si="13"/>
        <v>144.08736017125008</v>
      </c>
      <c r="J58" s="122">
        <f t="shared" si="14"/>
        <v>144.08736017125008</v>
      </c>
      <c r="K58" s="6"/>
      <c r="L58" s="7">
        <v>1.4636998574650062E-2</v>
      </c>
      <c r="M58" s="145">
        <f t="shared" si="10"/>
        <v>144.08736017125008</v>
      </c>
      <c r="O58" s="223">
        <f t="shared" si="12"/>
        <v>0.1</v>
      </c>
      <c r="P58" s="146"/>
      <c r="U58" s="4" t="e">
        <f>#REF!</f>
        <v>#REF!</v>
      </c>
    </row>
    <row r="59" spans="1:32" x14ac:dyDescent="0.25">
      <c r="A59">
        <v>2037</v>
      </c>
      <c r="B59" s="4">
        <f t="shared" si="11"/>
        <v>1.2500000000000001E-2</v>
      </c>
      <c r="C59" s="3">
        <f>IF(A59=Inputs!$P$1,1,IF(A59&lt;Inputs!$P$1,C60/(1+B59),C58*(1+B59)))</f>
        <v>1.1752639491945354</v>
      </c>
      <c r="D59" s="163">
        <f>Inputs!$C$32*UF*C59</f>
        <v>540621.41662948625</v>
      </c>
      <c r="E59" s="148">
        <f t="shared" si="8"/>
        <v>1345949.4864123734</v>
      </c>
      <c r="F59" s="148">
        <f t="shared" si="8"/>
        <v>1010363.2080426266</v>
      </c>
      <c r="G59" s="148">
        <f t="shared" si="8"/>
        <v>1010363.2080426266</v>
      </c>
      <c r="H59" s="6">
        <f t="shared" si="9"/>
        <v>97.100307482452507</v>
      </c>
      <c r="I59" s="122">
        <f t="shared" si="13"/>
        <v>145.8884521733907</v>
      </c>
      <c r="J59" s="122">
        <f t="shared" si="14"/>
        <v>145.8884521733907</v>
      </c>
      <c r="K59" s="6"/>
      <c r="L59" s="7">
        <v>1.4587998684292364E-2</v>
      </c>
      <c r="M59" s="145">
        <f t="shared" si="10"/>
        <v>145.8884521733907</v>
      </c>
      <c r="O59" s="223">
        <f t="shared" si="12"/>
        <v>0.1</v>
      </c>
      <c r="P59" s="146"/>
      <c r="U59" s="4" t="e">
        <f>#REF!</f>
        <v>#REF!</v>
      </c>
    </row>
    <row r="60" spans="1:32" x14ac:dyDescent="0.25">
      <c r="A60">
        <v>2038</v>
      </c>
      <c r="B60" s="4">
        <f t="shared" si="11"/>
        <v>1.2500000000000001E-2</v>
      </c>
      <c r="C60" s="3">
        <f>IF(A60=Inputs!$P$1,1,IF(A60&lt;Inputs!$P$1,C61/(1+B60),C59*(1+B60)))</f>
        <v>1.189954748559467</v>
      </c>
      <c r="D60" s="163">
        <f>Inputs!$C$32*UF*C60</f>
        <v>547379.18433735485</v>
      </c>
      <c r="E60" s="148">
        <f t="shared" si="8"/>
        <v>1362773.854992528</v>
      </c>
      <c r="F60" s="148">
        <f t="shared" si="8"/>
        <v>1022992.7481431594</v>
      </c>
      <c r="G60" s="148">
        <f t="shared" si="8"/>
        <v>1022992.7481431594</v>
      </c>
      <c r="H60" s="6">
        <f t="shared" si="9"/>
        <v>98.314061325983161</v>
      </c>
      <c r="I60" s="122">
        <f t="shared" si="13"/>
        <v>147.71205782555808</v>
      </c>
      <c r="J60" s="122">
        <f t="shared" si="14"/>
        <v>147.71205782555808</v>
      </c>
      <c r="K60" s="6"/>
      <c r="L60" s="7">
        <v>1.4538998793934665E-2</v>
      </c>
      <c r="M60" s="145">
        <f t="shared" si="10"/>
        <v>147.71205782555808</v>
      </c>
      <c r="O60" s="223">
        <f t="shared" si="12"/>
        <v>0.1</v>
      </c>
      <c r="P60" s="146"/>
      <c r="U60" s="4" t="e">
        <f>#REF!</f>
        <v>#REF!</v>
      </c>
    </row>
    <row r="61" spans="1:32" x14ac:dyDescent="0.25">
      <c r="A61">
        <v>2039</v>
      </c>
      <c r="B61" s="4">
        <f t="shared" si="11"/>
        <v>1.2500000000000001E-2</v>
      </c>
      <c r="C61" s="3">
        <f>IF(A61=Inputs!$P$1,1,IF(A61&lt;Inputs!$P$1,C62/(1+B61),C60*(1+B61)))</f>
        <v>1.2048291829164604</v>
      </c>
      <c r="D61" s="163">
        <f>Inputs!$C$32*UF*C61</f>
        <v>554221.42414157174</v>
      </c>
      <c r="E61" s="148">
        <f t="shared" si="8"/>
        <v>1379808.5281799345</v>
      </c>
      <c r="F61" s="148">
        <f t="shared" si="8"/>
        <v>1035780.1574949488</v>
      </c>
      <c r="G61" s="148">
        <f t="shared" si="8"/>
        <v>1035780.1574949488</v>
      </c>
      <c r="H61" s="6">
        <f t="shared" si="9"/>
        <v>99.542987092557951</v>
      </c>
      <c r="I61" s="122">
        <f t="shared" si="13"/>
        <v>149.55845854837756</v>
      </c>
      <c r="J61" s="122">
        <f t="shared" si="14"/>
        <v>149.55845854837756</v>
      </c>
      <c r="K61" s="6"/>
      <c r="L61" s="7">
        <v>1.4489998903576967E-2</v>
      </c>
      <c r="M61" s="145">
        <f t="shared" si="10"/>
        <v>149.55845854837756</v>
      </c>
      <c r="O61" s="223">
        <f t="shared" si="12"/>
        <v>0.1</v>
      </c>
      <c r="P61" s="146"/>
      <c r="U61" s="4" t="e">
        <f>#REF!</f>
        <v>#REF!</v>
      </c>
    </row>
    <row r="62" spans="1:32" x14ac:dyDescent="0.25">
      <c r="A62">
        <v>2040</v>
      </c>
      <c r="B62" s="4">
        <f t="shared" si="11"/>
        <v>1.2500000000000001E-2</v>
      </c>
      <c r="C62" s="3">
        <f>IF(A62=Inputs!$P$1,1,IF(A62&lt;Inputs!$P$1,C63/(1+B62),C61*(1+B62)))</f>
        <v>1.2198895477029161</v>
      </c>
      <c r="D62" s="163">
        <f>Inputs!$C$32*UF*C62</f>
        <v>561149.1919433414</v>
      </c>
      <c r="E62" s="148">
        <f t="shared" si="8"/>
        <v>1397056.1347821837</v>
      </c>
      <c r="F62" s="148">
        <f t="shared" si="8"/>
        <v>1048727.4094636356</v>
      </c>
      <c r="G62" s="148">
        <f t="shared" si="8"/>
        <v>1048727.4094636356</v>
      </c>
      <c r="H62" s="6">
        <f t="shared" si="9"/>
        <v>100.78727443121493</v>
      </c>
      <c r="I62" s="122">
        <f t="shared" si="13"/>
        <v>151.42793928023227</v>
      </c>
      <c r="J62" s="122">
        <f t="shared" si="14"/>
        <v>151.42793928023227</v>
      </c>
      <c r="K62" s="6"/>
      <c r="L62" s="7">
        <v>1.4440999013219269E-2</v>
      </c>
      <c r="M62" s="145">
        <f t="shared" si="10"/>
        <v>151.42793928023227</v>
      </c>
      <c r="O62" s="223">
        <f t="shared" si="12"/>
        <v>0.1</v>
      </c>
      <c r="P62" s="146"/>
      <c r="U62" s="4" t="e">
        <f>#REF!</f>
        <v>#REF!</v>
      </c>
    </row>
    <row r="63" spans="1:32" x14ac:dyDescent="0.25">
      <c r="A63">
        <v>2041</v>
      </c>
      <c r="B63" s="4">
        <f t="shared" si="11"/>
        <v>1.2500000000000001E-2</v>
      </c>
      <c r="C63" s="3">
        <f>IF(A63=Inputs!$P$1,1,IF(A63&lt;Inputs!$P$1,C64/(1+B63),C62*(1+B63)))</f>
        <v>1.2351381670492025</v>
      </c>
      <c r="D63" s="163">
        <f>Inputs!$C$32*UF*C63</f>
        <v>568163.55684263317</v>
      </c>
      <c r="E63" s="148">
        <f t="shared" si="8"/>
        <v>1414519.3364669608</v>
      </c>
      <c r="F63" s="148">
        <f t="shared" si="8"/>
        <v>1061836.5020819311</v>
      </c>
      <c r="G63" s="148">
        <f t="shared" si="8"/>
        <v>1061836.5020819311</v>
      </c>
      <c r="H63" s="6">
        <f t="shared" si="9"/>
        <v>102.04711536160511</v>
      </c>
      <c r="I63" s="122">
        <f t="shared" si="13"/>
        <v>153.32078852123516</v>
      </c>
      <c r="J63" s="122">
        <f t="shared" si="14"/>
        <v>153.32078852123516</v>
      </c>
      <c r="K63" s="6"/>
      <c r="L63" s="7">
        <v>1.4391999122861571E-2</v>
      </c>
      <c r="M63" s="145">
        <f t="shared" si="10"/>
        <v>153.32078852123516</v>
      </c>
      <c r="O63" s="223">
        <f t="shared" si="12"/>
        <v>0.1</v>
      </c>
      <c r="P63" s="146"/>
      <c r="U63" s="4" t="e">
        <f>#REF!</f>
        <v>#REF!</v>
      </c>
    </row>
    <row r="64" spans="1:32" x14ac:dyDescent="0.25">
      <c r="A64">
        <v>2042</v>
      </c>
      <c r="B64" s="4">
        <f t="shared" si="11"/>
        <v>1.2500000000000001E-2</v>
      </c>
      <c r="C64" s="3">
        <f>IF(A64=Inputs!$P$1,1,IF(A64&lt;Inputs!$P$1,C65/(1+B64),C63*(1+B64)))</f>
        <v>1.2505773941373175</v>
      </c>
      <c r="D64" s="163">
        <f>Inputs!$C$32*UF*C64</f>
        <v>575265.60130316601</v>
      </c>
      <c r="E64" s="148">
        <f t="shared" si="8"/>
        <v>1432200.8281727978</v>
      </c>
      <c r="F64" s="148">
        <f t="shared" si="8"/>
        <v>1075109.4583579551</v>
      </c>
      <c r="G64" s="148">
        <f t="shared" si="8"/>
        <v>1075109.4583579551</v>
      </c>
      <c r="H64" s="6">
        <f t="shared" si="9"/>
        <v>103.32270430362517</v>
      </c>
      <c r="I64" s="122">
        <f t="shared" si="13"/>
        <v>155.23729837775059</v>
      </c>
      <c r="J64" s="122">
        <f t="shared" si="14"/>
        <v>155.23729837775059</v>
      </c>
      <c r="K64" s="6"/>
      <c r="L64" s="7">
        <v>1.4342999232503872E-2</v>
      </c>
      <c r="M64" s="145">
        <f t="shared" si="10"/>
        <v>155.23729837775059</v>
      </c>
      <c r="O64" s="223">
        <f t="shared" si="12"/>
        <v>0.1</v>
      </c>
      <c r="P64" s="146"/>
      <c r="U64" s="4" t="e">
        <f>#REF!</f>
        <v>#REF!</v>
      </c>
    </row>
    <row r="65" spans="1:21" x14ac:dyDescent="0.25">
      <c r="A65">
        <v>2043</v>
      </c>
      <c r="B65" s="4">
        <f t="shared" si="11"/>
        <v>1.2500000000000001E-2</v>
      </c>
      <c r="C65" s="3">
        <f>IF(A65=Inputs!$P$1,1,IF(A65&lt;Inputs!$P$1,C66/(1+B65),C64*(1+B65)))</f>
        <v>1.266209611564034</v>
      </c>
      <c r="D65" s="163">
        <f>Inputs!$C$32*UF*C65</f>
        <v>582456.42131945561</v>
      </c>
      <c r="E65" s="148">
        <f t="shared" si="8"/>
        <v>1450103.3385249577</v>
      </c>
      <c r="F65" s="148">
        <f t="shared" si="8"/>
        <v>1088548.3265874295</v>
      </c>
      <c r="G65" s="148">
        <f t="shared" si="8"/>
        <v>1088548.3265874295</v>
      </c>
      <c r="H65" s="6">
        <f t="shared" si="9"/>
        <v>104.61423810742048</v>
      </c>
      <c r="I65" s="122">
        <f t="shared" si="13"/>
        <v>157.17776460747245</v>
      </c>
      <c r="J65" s="122">
        <f t="shared" si="14"/>
        <v>157.17776460747245</v>
      </c>
      <c r="K65" s="6"/>
      <c r="L65" s="7">
        <v>1.4293999342146174E-2</v>
      </c>
      <c r="M65" s="145">
        <f t="shared" si="10"/>
        <v>157.17776460747245</v>
      </c>
      <c r="O65" s="223">
        <f t="shared" si="12"/>
        <v>0.1</v>
      </c>
      <c r="P65" s="146"/>
      <c r="U65" s="4" t="e">
        <f>#REF!</f>
        <v>#REF!</v>
      </c>
    </row>
    <row r="66" spans="1:21" x14ac:dyDescent="0.25">
      <c r="A66">
        <v>2044</v>
      </c>
      <c r="B66" s="4">
        <f t="shared" si="11"/>
        <v>1.2500000000000001E-2</v>
      </c>
      <c r="C66" s="3">
        <f>IF(A66=Inputs!$P$1,1,IF(A66&lt;Inputs!$P$1,C67/(1+B66),C65*(1+B66)))</f>
        <v>1.2820372317085844</v>
      </c>
      <c r="D66" s="163">
        <f>Inputs!$C$32*UF*C66</f>
        <v>589737.12658594886</v>
      </c>
      <c r="E66" s="148">
        <f t="shared" si="8"/>
        <v>1468229.6302565197</v>
      </c>
      <c r="F66" s="148">
        <f t="shared" si="8"/>
        <v>1102155.1806697724</v>
      </c>
      <c r="G66" s="148">
        <f t="shared" si="8"/>
        <v>1102155.1806697724</v>
      </c>
      <c r="H66" s="6">
        <f t="shared" si="9"/>
        <v>105.92191608376322</v>
      </c>
      <c r="I66" s="122">
        <f t="shared" si="13"/>
        <v>159.14248666506586</v>
      </c>
      <c r="J66" s="122">
        <f t="shared" si="14"/>
        <v>159.14248666506586</v>
      </c>
      <c r="K66" s="6"/>
      <c r="L66" s="7">
        <v>1.4244999451788476E-2</v>
      </c>
      <c r="M66" s="145">
        <f t="shared" si="10"/>
        <v>159.14248666506586</v>
      </c>
      <c r="O66" s="227">
        <f t="shared" si="12"/>
        <v>0.1</v>
      </c>
      <c r="P66" s="146"/>
      <c r="U66" s="4" t="e">
        <f>#REF!</f>
        <v>#REF!</v>
      </c>
    </row>
    <row r="67" spans="1:21" x14ac:dyDescent="0.25">
      <c r="A67">
        <v>2045</v>
      </c>
      <c r="B67" s="4">
        <f t="shared" si="11"/>
        <v>1.2500000000000001E-2</v>
      </c>
      <c r="C67" s="3">
        <f>IF(A67=Inputs!$P$1,1,IF(A67&lt;Inputs!$P$1,C68/(1+B67),C66*(1+B67)))</f>
        <v>1.2980626971049416</v>
      </c>
      <c r="D67" s="163">
        <f>Inputs!$C$32*UF*C67</f>
        <v>597108.84066827316</v>
      </c>
      <c r="E67" s="148">
        <f t="shared" si="8"/>
        <v>1486582.5006347261</v>
      </c>
      <c r="F67" s="148">
        <f t="shared" si="8"/>
        <v>1115932.1204281445</v>
      </c>
      <c r="G67" s="148">
        <f t="shared" si="8"/>
        <v>1115932.1204281445</v>
      </c>
      <c r="H67" s="6">
        <f t="shared" si="9"/>
        <v>107.24594003481026</v>
      </c>
      <c r="I67" s="122">
        <f t="shared" si="13"/>
        <v>161.13176774837919</v>
      </c>
      <c r="J67" s="122">
        <f t="shared" si="14"/>
        <v>161.13176774837919</v>
      </c>
      <c r="K67" s="6"/>
      <c r="L67" s="7">
        <v>1.4195999561430778E-2</v>
      </c>
      <c r="M67" s="145">
        <f t="shared" si="10"/>
        <v>161.13176774837919</v>
      </c>
      <c r="O67" s="228">
        <f t="shared" si="12"/>
        <v>0.1</v>
      </c>
      <c r="P67" s="146"/>
      <c r="U67" s="4" t="e">
        <f>#REF!</f>
        <v>#REF!</v>
      </c>
    </row>
    <row r="68" spans="1:21" x14ac:dyDescent="0.25">
      <c r="A68">
        <v>2046</v>
      </c>
      <c r="B68" s="4">
        <f t="shared" si="11"/>
        <v>1.2500000000000001E-2</v>
      </c>
      <c r="C68" s="3">
        <f>IF(A68=Inputs!$P$1,1,IF(A68&lt;Inputs!$P$1,C69/(1+B68),C67*(1+B68)))</f>
        <v>1.3142884808187534</v>
      </c>
      <c r="D68" s="163">
        <f>Inputs!$C$32*UF*C68</f>
        <v>604572.70117662661</v>
      </c>
      <c r="E68" s="148">
        <f t="shared" si="8"/>
        <v>1505164.7818926601</v>
      </c>
      <c r="F68" s="148">
        <f t="shared" si="8"/>
        <v>1129881.2719334962</v>
      </c>
      <c r="G68" s="148">
        <f t="shared" si="8"/>
        <v>1129881.2719334962</v>
      </c>
      <c r="H68" s="6">
        <f t="shared" si="9"/>
        <v>108.58651428524539</v>
      </c>
      <c r="I68" s="122">
        <f t="shared" si="13"/>
        <v>163.14591484523393</v>
      </c>
      <c r="J68" s="122">
        <f t="shared" si="14"/>
        <v>163.14591484523393</v>
      </c>
      <c r="K68" s="6"/>
      <c r="L68" s="7">
        <v>1.4146999671073079E-2</v>
      </c>
      <c r="M68" s="145">
        <f t="shared" si="10"/>
        <v>163.14591484523393</v>
      </c>
      <c r="O68" s="228">
        <f t="shared" si="12"/>
        <v>0.1</v>
      </c>
      <c r="P68" s="146"/>
      <c r="U68" s="4" t="e">
        <f>#REF!</f>
        <v>#REF!</v>
      </c>
    </row>
    <row r="69" spans="1:21" x14ac:dyDescent="0.25">
      <c r="A69">
        <v>2047</v>
      </c>
      <c r="B69" s="4">
        <f t="shared" si="11"/>
        <v>1.2500000000000001E-2</v>
      </c>
      <c r="C69" s="3">
        <f>IF(A69=Inputs!$P$1,1,IF(A69&lt;Inputs!$P$1,C70/(1+B69),C68*(1+B69)))</f>
        <v>1.3307170868289877</v>
      </c>
      <c r="D69" s="163">
        <f>Inputs!$C$32*UF*C69</f>
        <v>612129.85994133435</v>
      </c>
      <c r="E69" s="148">
        <f t="shared" si="8"/>
        <v>1523979.3416663182</v>
      </c>
      <c r="F69" s="148">
        <f t="shared" si="8"/>
        <v>1144004.7878326648</v>
      </c>
      <c r="G69" s="148">
        <f t="shared" si="8"/>
        <v>1144004.7878326648</v>
      </c>
      <c r="H69" s="6">
        <f t="shared" si="9"/>
        <v>109.94384571381094</v>
      </c>
      <c r="I69" s="122">
        <f t="shared" si="13"/>
        <v>165.18523878079935</v>
      </c>
      <c r="J69" s="122">
        <f t="shared" si="14"/>
        <v>165.18523878079935</v>
      </c>
      <c r="K69" s="6"/>
      <c r="L69" s="7">
        <v>1.4097999780715381E-2</v>
      </c>
      <c r="M69" s="145">
        <f t="shared" si="10"/>
        <v>165.18523878079935</v>
      </c>
      <c r="O69" s="228">
        <f t="shared" si="12"/>
        <v>0.1</v>
      </c>
      <c r="P69" s="146"/>
      <c r="U69" s="4" t="e">
        <f>#REF!</f>
        <v>#REF!</v>
      </c>
    </row>
    <row r="70" spans="1:21" x14ac:dyDescent="0.25">
      <c r="A70">
        <v>2048</v>
      </c>
      <c r="B70" s="4">
        <f t="shared" si="11"/>
        <v>1.2500000000000001E-2</v>
      </c>
      <c r="C70" s="3">
        <f>IF(A70=Inputs!$P$1,1,IF(A70&lt;Inputs!$P$1,C71/(1+B70),C69*(1+B70)))</f>
        <v>1.34735105041435</v>
      </c>
      <c r="D70" s="163">
        <f>Inputs!$C$32*UF*C70</f>
        <v>619781.48319060099</v>
      </c>
      <c r="E70" s="148">
        <f t="shared" si="8"/>
        <v>1543029.0834371471</v>
      </c>
      <c r="F70" s="148">
        <f t="shared" si="8"/>
        <v>1158304.8476805731</v>
      </c>
      <c r="G70" s="148">
        <f t="shared" si="8"/>
        <v>1158304.8476805731</v>
      </c>
      <c r="H70" s="6">
        <f t="shared" si="9"/>
        <v>111.31814378523357</v>
      </c>
      <c r="I70" s="122">
        <f t="shared" si="13"/>
        <v>167.25005426555933</v>
      </c>
      <c r="J70" s="122">
        <f t="shared" si="14"/>
        <v>167.25005426555933</v>
      </c>
      <c r="K70" s="6"/>
      <c r="L70" s="7">
        <v>1.4048999890357683E-2</v>
      </c>
      <c r="M70" s="145">
        <f t="shared" si="10"/>
        <v>167.25005426555933</v>
      </c>
      <c r="O70" s="228">
        <f t="shared" si="12"/>
        <v>0.1</v>
      </c>
      <c r="P70" s="146"/>
      <c r="U70" s="4" t="e">
        <f>#REF!</f>
        <v>#REF!</v>
      </c>
    </row>
    <row r="71" spans="1:21" x14ac:dyDescent="0.25">
      <c r="A71">
        <v>2049</v>
      </c>
      <c r="B71" s="4">
        <f t="shared" si="11"/>
        <v>1.2500000000000001E-2</v>
      </c>
      <c r="C71" s="3">
        <f>IF(A71=Inputs!$P$1,1,IF(A71&lt;Inputs!$P$1,C72/(1+B71),C70*(1+B71)))</f>
        <v>1.3641929385445293</v>
      </c>
      <c r="D71" s="163">
        <f>Inputs!$C$32*UF*C71</f>
        <v>627528.75173048349</v>
      </c>
      <c r="E71" s="148">
        <f t="shared" si="8"/>
        <v>1562316.9469801113</v>
      </c>
      <c r="F71" s="148">
        <f t="shared" si="8"/>
        <v>1172783.6582765803</v>
      </c>
      <c r="G71" s="148">
        <f t="shared" si="8"/>
        <v>1172783.6582765803</v>
      </c>
      <c r="H71" s="6">
        <f t="shared" si="9"/>
        <v>112.70962058254899</v>
      </c>
      <c r="I71" s="122">
        <f t="shared" si="13"/>
        <v>169.34067994387883</v>
      </c>
      <c r="J71" s="122">
        <f t="shared" si="14"/>
        <v>169.34067994387883</v>
      </c>
      <c r="K71" s="6"/>
      <c r="L71" s="7">
        <v>1.3999999999999985E-2</v>
      </c>
      <c r="M71" s="145">
        <f t="shared" si="10"/>
        <v>169.34067994387883</v>
      </c>
      <c r="O71" s="228">
        <f t="shared" si="12"/>
        <v>0.1</v>
      </c>
      <c r="P71" s="146"/>
      <c r="U71" s="4" t="e">
        <f>#REF!</f>
        <v>#REF!</v>
      </c>
    </row>
    <row r="72" spans="1:21" x14ac:dyDescent="0.25">
      <c r="A72">
        <v>2050</v>
      </c>
      <c r="B72" s="4">
        <f t="shared" si="11"/>
        <v>1.2500000000000001E-2</v>
      </c>
      <c r="C72" s="3">
        <f>IF(A72=Inputs!$P$1,1,IF(A72&lt;Inputs!$P$1,C73/(1+B72),C71*(1+B72)))</f>
        <v>1.3812453502763358</v>
      </c>
      <c r="D72" s="163">
        <f>Inputs!$C$32*UF*C72</f>
        <v>635372.86112711451</v>
      </c>
      <c r="E72" s="148">
        <f t="shared" si="8"/>
        <v>1581845.9088173627</v>
      </c>
      <c r="F72" s="148">
        <f t="shared" si="8"/>
        <v>1187443.4540050374</v>
      </c>
      <c r="G72" s="148">
        <f t="shared" si="8"/>
        <v>1187443.4540050374</v>
      </c>
      <c r="H72" s="6">
        <f t="shared" si="9"/>
        <v>114.11849083983086</v>
      </c>
      <c r="I72" s="122">
        <f t="shared" si="13"/>
        <v>171.4574384431773</v>
      </c>
      <c r="J72" s="122">
        <f t="shared" si="14"/>
        <v>171.4574384431773</v>
      </c>
      <c r="K72" s="6"/>
      <c r="L72" s="7">
        <v>1.4E-2</v>
      </c>
      <c r="M72" s="145">
        <f t="shared" si="10"/>
        <v>171.4574384431773</v>
      </c>
      <c r="O72" s="228">
        <f t="shared" si="12"/>
        <v>0.1</v>
      </c>
      <c r="P72" s="146"/>
      <c r="U72" s="4" t="e">
        <f>#REF!</f>
        <v>#REF!</v>
      </c>
    </row>
    <row r="73" spans="1:21" x14ac:dyDescent="0.25">
      <c r="A73">
        <v>2051</v>
      </c>
      <c r="B73" s="4">
        <f t="shared" si="11"/>
        <v>1.2500000000000001E-2</v>
      </c>
      <c r="C73" s="3">
        <f>IF(A73=Inputs!$P$1,1,IF(A73&lt;Inputs!$P$1,C74/(1+B73),C72*(1+B73)))</f>
        <v>1.3985109171547898</v>
      </c>
      <c r="D73" s="163">
        <f>Inputs!$C$32*UF*C73</f>
        <v>643315.02189120336</v>
      </c>
      <c r="E73" s="148">
        <f t="shared" si="8"/>
        <v>1601618.9826775796</v>
      </c>
      <c r="F73" s="148">
        <f t="shared" si="8"/>
        <v>1202286.4971801003</v>
      </c>
      <c r="G73" s="148">
        <f t="shared" si="8"/>
        <v>1202286.4971801003</v>
      </c>
      <c r="H73" s="6">
        <f t="shared" si="9"/>
        <v>115.54497197532874</v>
      </c>
      <c r="I73" s="122">
        <f t="shared" si="13"/>
        <v>173.600656423717</v>
      </c>
      <c r="J73" s="122">
        <f t="shared" si="14"/>
        <v>173.600656423717</v>
      </c>
      <c r="K73" s="6"/>
      <c r="L73" s="7">
        <v>1.3860000000000001E-2</v>
      </c>
      <c r="M73" s="145">
        <f t="shared" si="10"/>
        <v>173.600656423717</v>
      </c>
      <c r="O73" s="228">
        <f t="shared" si="12"/>
        <v>0.1</v>
      </c>
      <c r="P73" s="146"/>
      <c r="U73" s="4" t="e">
        <f>#REF!</f>
        <v>#REF!</v>
      </c>
    </row>
    <row r="74" spans="1:21" x14ac:dyDescent="0.25">
      <c r="A74">
        <v>2052</v>
      </c>
      <c r="B74" s="4">
        <f t="shared" si="11"/>
        <v>1.2500000000000001E-2</v>
      </c>
      <c r="C74" s="3">
        <f>IF(A74=Inputs!$P$1,1,IF(A74&lt;Inputs!$P$1,C75/(1+B74),C73*(1+B74)))</f>
        <v>1.4159923036192246</v>
      </c>
      <c r="D74" s="163">
        <f>Inputs!$C$32*UF*C74</f>
        <v>651356.45966484328</v>
      </c>
      <c r="E74" s="148">
        <f t="shared" si="8"/>
        <v>1621639.2199610493</v>
      </c>
      <c r="F74" s="148">
        <f t="shared" si="8"/>
        <v>1217315.0783948514</v>
      </c>
      <c r="G74" s="148">
        <f t="shared" si="8"/>
        <v>1217315.0783948514</v>
      </c>
      <c r="H74" s="6">
        <f t="shared" si="9"/>
        <v>116.98928412502033</v>
      </c>
      <c r="I74" s="122">
        <f t="shared" si="13"/>
        <v>175.77066462901345</v>
      </c>
      <c r="J74" s="122">
        <f t="shared" si="14"/>
        <v>175.77066462901345</v>
      </c>
      <c r="K74" s="6"/>
      <c r="L74" s="7">
        <v>1.3720000000000001E-2</v>
      </c>
      <c r="M74" s="145">
        <f t="shared" si="10"/>
        <v>175.77066462901345</v>
      </c>
      <c r="O74" s="228">
        <f t="shared" si="12"/>
        <v>0.1</v>
      </c>
      <c r="P74" s="146"/>
      <c r="U74" s="4" t="e">
        <f>#REF!</f>
        <v>#REF!</v>
      </c>
    </row>
    <row r="75" spans="1:21" x14ac:dyDescent="0.25">
      <c r="A75">
        <v>2053</v>
      </c>
      <c r="B75" s="4">
        <f t="shared" si="11"/>
        <v>1.2500000000000001E-2</v>
      </c>
      <c r="C75" s="3">
        <f>IF(A75=Inputs!$P$1,1,IF(A75&lt;Inputs!$P$1,C76/(1+B75),C74*(1+B75)))</f>
        <v>1.4336922074144649</v>
      </c>
      <c r="D75" s="163">
        <f>Inputs!$C$32*UF*C75</f>
        <v>659498.4154106538</v>
      </c>
      <c r="E75" s="148">
        <f t="shared" si="8"/>
        <v>1641909.7102105622</v>
      </c>
      <c r="F75" s="148">
        <f t="shared" si="8"/>
        <v>1232531.5168747869</v>
      </c>
      <c r="G75" s="148">
        <f t="shared" si="8"/>
        <v>1232531.5168747869</v>
      </c>
      <c r="H75" s="6">
        <f t="shared" si="9"/>
        <v>118.45165017658309</v>
      </c>
      <c r="I75" s="122">
        <f t="shared" si="13"/>
        <v>177.96779793687611</v>
      </c>
      <c r="J75" s="122">
        <f t="shared" si="14"/>
        <v>177.96779793687611</v>
      </c>
      <c r="K75" s="6"/>
      <c r="L75" s="7">
        <v>1.3580000000000002E-2</v>
      </c>
      <c r="M75" s="145">
        <f t="shared" si="10"/>
        <v>177.96779793687611</v>
      </c>
      <c r="O75" s="228">
        <f t="shared" si="12"/>
        <v>0.1</v>
      </c>
      <c r="P75" s="146"/>
      <c r="U75" s="4" t="e">
        <f>#REF!</f>
        <v>#REF!</v>
      </c>
    </row>
    <row r="76" spans="1:21" x14ac:dyDescent="0.25">
      <c r="A76">
        <v>2054</v>
      </c>
      <c r="B76" s="4">
        <f t="shared" si="11"/>
        <v>1.2500000000000001E-2</v>
      </c>
      <c r="C76" s="3">
        <f>IF(A76=Inputs!$P$1,1,IF(A76&lt;Inputs!$P$1,C77/(1+B76),C75*(1+B76)))</f>
        <v>1.4516133600071457</v>
      </c>
      <c r="D76" s="163">
        <f>Inputs!$C$32*UF*C76</f>
        <v>667742.14560328703</v>
      </c>
      <c r="E76" s="148">
        <f t="shared" si="8"/>
        <v>1662433.5815881942</v>
      </c>
      <c r="F76" s="148">
        <f t="shared" si="8"/>
        <v>1247938.1608357218</v>
      </c>
      <c r="G76" s="148">
        <f t="shared" si="8"/>
        <v>1247938.1608357218</v>
      </c>
      <c r="H76" s="6">
        <f t="shared" si="9"/>
        <v>119.93229580379037</v>
      </c>
      <c r="I76" s="122">
        <f t="shared" si="13"/>
        <v>180.19239541108706</v>
      </c>
      <c r="J76" s="122">
        <f t="shared" si="14"/>
        <v>180.19239541108706</v>
      </c>
      <c r="K76" s="6"/>
      <c r="L76" s="7">
        <v>1.3440000000000002E-2</v>
      </c>
      <c r="M76" s="145">
        <f t="shared" si="10"/>
        <v>180.19239541108706</v>
      </c>
      <c r="O76" s="224">
        <f t="shared" si="12"/>
        <v>0.1</v>
      </c>
      <c r="P76" s="146"/>
      <c r="U76" s="4" t="e">
        <f>#REF!</f>
        <v>#REF!</v>
      </c>
    </row>
    <row r="77" spans="1:21" x14ac:dyDescent="0.25">
      <c r="A77">
        <v>2055</v>
      </c>
      <c r="B77" s="4">
        <f t="shared" si="11"/>
        <v>1.2500000000000001E-2</v>
      </c>
      <c r="C77" s="3">
        <f>IF(A77=Inputs!$P$1,1,IF(A77&lt;Inputs!$P$1,C78/(1+B77),C76*(1+B77)))</f>
        <v>1.4697585270072349</v>
      </c>
      <c r="D77" s="163">
        <f>Inputs!$C$32*UF*C77</f>
        <v>676088.92242332804</v>
      </c>
      <c r="E77" s="148">
        <f t="shared" si="8"/>
        <v>1683214.0013580467</v>
      </c>
      <c r="F77" s="148">
        <f t="shared" si="8"/>
        <v>1263537.3878461681</v>
      </c>
      <c r="G77" s="148">
        <f t="shared" si="8"/>
        <v>1263537.3878461681</v>
      </c>
      <c r="H77" s="6">
        <f t="shared" si="9"/>
        <v>121.43144950133774</v>
      </c>
      <c r="I77" s="122">
        <f t="shared" si="13"/>
        <v>182.44480035372564</v>
      </c>
      <c r="J77" s="122">
        <f t="shared" si="14"/>
        <v>182.44480035372564</v>
      </c>
      <c r="K77" s="6"/>
      <c r="L77" s="7">
        <v>1.3300000000000003E-2</v>
      </c>
      <c r="M77" s="145">
        <f t="shared" si="10"/>
        <v>182.44480035372564</v>
      </c>
      <c r="O77" s="225">
        <f t="shared" si="12"/>
        <v>0.1</v>
      </c>
      <c r="P77" s="146"/>
      <c r="U77" s="4" t="e">
        <f>#REF!</f>
        <v>#REF!</v>
      </c>
    </row>
    <row r="78" spans="1:21" x14ac:dyDescent="0.25">
      <c r="A78">
        <v>2056</v>
      </c>
      <c r="B78" s="4">
        <f t="shared" si="11"/>
        <v>1.2500000000000001E-2</v>
      </c>
      <c r="C78" s="3">
        <f>IF(A78=Inputs!$P$1,1,IF(A78&lt;Inputs!$P$1,C79/(1+B78),C77*(1+B78)))</f>
        <v>1.4881305085948253</v>
      </c>
      <c r="D78" s="163">
        <f>Inputs!$C$32*UF*C78</f>
        <v>684540.03395361966</v>
      </c>
      <c r="E78" s="148">
        <f t="shared" si="8"/>
        <v>1704254.1763750222</v>
      </c>
      <c r="F78" s="148">
        <f t="shared" si="8"/>
        <v>1279331.6051942452</v>
      </c>
      <c r="G78" s="148">
        <f t="shared" si="8"/>
        <v>1279331.6051942452</v>
      </c>
      <c r="H78" s="6">
        <f t="shared" si="9"/>
        <v>122.94934262010446</v>
      </c>
      <c r="I78" s="122">
        <f t="shared" si="13"/>
        <v>184.72536035814721</v>
      </c>
      <c r="J78" s="122">
        <f t="shared" si="14"/>
        <v>184.72536035814721</v>
      </c>
      <c r="K78" s="6"/>
      <c r="L78" s="7">
        <v>1.3160000000000003E-2</v>
      </c>
      <c r="M78" s="145">
        <f t="shared" si="10"/>
        <v>184.72536035814721</v>
      </c>
      <c r="O78" s="225">
        <f t="shared" si="12"/>
        <v>0.1</v>
      </c>
      <c r="P78" s="146"/>
      <c r="U78" s="4" t="e">
        <f>#REF!</f>
        <v>#REF!</v>
      </c>
    </row>
    <row r="79" spans="1:21" x14ac:dyDescent="0.25">
      <c r="A79">
        <v>2057</v>
      </c>
      <c r="B79" s="4">
        <f t="shared" si="11"/>
        <v>1.2500000000000001E-2</v>
      </c>
      <c r="C79" s="3">
        <f>IF(A79=Inputs!$P$1,1,IF(A79&lt;Inputs!$P$1,C80/(1+B79),C78*(1+B79)))</f>
        <v>1.5067321399522606</v>
      </c>
      <c r="D79" s="163">
        <f>Inputs!$C$32*UF*C79</f>
        <v>693096.78437803988</v>
      </c>
      <c r="E79" s="148">
        <f t="shared" si="8"/>
        <v>1725557.3535797098</v>
      </c>
      <c r="F79" s="148">
        <f t="shared" si="8"/>
        <v>1295323.2502591733</v>
      </c>
      <c r="G79" s="148">
        <f t="shared" si="8"/>
        <v>1295323.2502591733</v>
      </c>
      <c r="H79" s="6">
        <f t="shared" si="9"/>
        <v>124.48620940285576</v>
      </c>
      <c r="I79" s="122">
        <f t="shared" si="13"/>
        <v>187.03442736262406</v>
      </c>
      <c r="J79" s="122">
        <f t="shared" si="14"/>
        <v>187.03442736262406</v>
      </c>
      <c r="K79" s="6"/>
      <c r="L79" s="7">
        <v>1.3020000000000004E-2</v>
      </c>
      <c r="M79" s="145">
        <f t="shared" si="10"/>
        <v>187.03442736262406</v>
      </c>
      <c r="O79" s="225">
        <f t="shared" si="12"/>
        <v>0.1</v>
      </c>
      <c r="P79" s="146"/>
      <c r="U79" s="4" t="e">
        <f>#REF!</f>
        <v>#REF!</v>
      </c>
    </row>
    <row r="80" spans="1:21" x14ac:dyDescent="0.25">
      <c r="A80">
        <v>2058</v>
      </c>
      <c r="B80" s="4">
        <f t="shared" si="11"/>
        <v>1.2500000000000001E-2</v>
      </c>
      <c r="C80" s="3">
        <f>IF(A80=Inputs!$P$1,1,IF(A80&lt;Inputs!$P$1,C81/(1+B80),C79*(1+B80)))</f>
        <v>1.5255662917016639</v>
      </c>
      <c r="D80" s="163">
        <f>Inputs!$C$32*UF*C80</f>
        <v>701760.49418276537</v>
      </c>
      <c r="E80" s="148">
        <f t="shared" si="8"/>
        <v>1747126.820499456</v>
      </c>
      <c r="F80" s="148">
        <f t="shared" si="8"/>
        <v>1311514.7908874128</v>
      </c>
      <c r="G80" s="148">
        <f t="shared" si="8"/>
        <v>1311514.7908874128</v>
      </c>
      <c r="H80" s="6">
        <f t="shared" si="9"/>
        <v>126.04228702039146</v>
      </c>
      <c r="I80" s="122">
        <f t="shared" si="13"/>
        <v>189.37235770465685</v>
      </c>
      <c r="J80" s="122">
        <f t="shared" si="14"/>
        <v>189.37235770465685</v>
      </c>
      <c r="K80" s="6"/>
      <c r="L80" s="7">
        <v>1.2880000000000004E-2</v>
      </c>
      <c r="M80" s="145">
        <f t="shared" si="10"/>
        <v>189.37235770465685</v>
      </c>
      <c r="O80" s="225">
        <f t="shared" si="12"/>
        <v>0.1</v>
      </c>
      <c r="P80" s="146"/>
      <c r="U80" s="4" t="e">
        <f>#REF!</f>
        <v>#REF!</v>
      </c>
    </row>
    <row r="81" spans="1:21" x14ac:dyDescent="0.25">
      <c r="A81">
        <v>2059</v>
      </c>
      <c r="B81" s="4">
        <f t="shared" si="11"/>
        <v>1.2500000000000001E-2</v>
      </c>
      <c r="C81" s="3">
        <f>IF(A81=Inputs!$P$1,1,IF(A81&lt;Inputs!$P$1,C82/(1+B81),C80*(1+B81)))</f>
        <v>1.5446358703479346</v>
      </c>
      <c r="D81" s="163">
        <f>Inputs!$C$32*UF*C81</f>
        <v>710532.50036004989</v>
      </c>
      <c r="E81" s="148">
        <f t="shared" si="8"/>
        <v>1768965.9057556991</v>
      </c>
      <c r="F81" s="148">
        <f t="shared" si="8"/>
        <v>1327908.7257735054</v>
      </c>
      <c r="G81" s="148">
        <f t="shared" si="8"/>
        <v>1327908.7257735054</v>
      </c>
      <c r="H81" s="6">
        <f t="shared" si="9"/>
        <v>127.61781560814634</v>
      </c>
      <c r="I81" s="122">
        <f t="shared" si="13"/>
        <v>191.73951217596505</v>
      </c>
      <c r="J81" s="122">
        <f t="shared" si="14"/>
        <v>191.73951217596505</v>
      </c>
      <c r="K81" s="6"/>
      <c r="L81" s="7">
        <v>1.2740000000000005E-2</v>
      </c>
      <c r="M81" s="145">
        <f t="shared" si="10"/>
        <v>191.73951217596505</v>
      </c>
      <c r="O81" s="225">
        <f t="shared" si="12"/>
        <v>0.1</v>
      </c>
      <c r="P81" s="146"/>
      <c r="U81" s="4" t="e">
        <f>#REF!</f>
        <v>#REF!</v>
      </c>
    </row>
    <row r="82" spans="1:21" x14ac:dyDescent="0.25">
      <c r="A82">
        <v>2060</v>
      </c>
      <c r="B82" s="4">
        <f t="shared" si="11"/>
        <v>1.2500000000000001E-2</v>
      </c>
      <c r="C82" s="3">
        <f>IF(A82=Inputs!$P$1,1,IF(A82&lt;Inputs!$P$1,C83/(1+B82),C81*(1+B82)))</f>
        <v>1.5639438187272836</v>
      </c>
      <c r="D82" s="163">
        <f>Inputs!$C$32*UF*C82</f>
        <v>719414.15661455051</v>
      </c>
      <c r="E82" s="148">
        <f t="shared" si="8"/>
        <v>1791077.9795776452</v>
      </c>
      <c r="F82" s="148">
        <f t="shared" si="8"/>
        <v>1344507.5848456742</v>
      </c>
      <c r="G82" s="148">
        <f t="shared" si="8"/>
        <v>1344507.5848456742</v>
      </c>
      <c r="H82" s="6">
        <f t="shared" si="9"/>
        <v>129.21303830324817</v>
      </c>
      <c r="I82" s="122">
        <f t="shared" si="13"/>
        <v>194.13625607816459</v>
      </c>
      <c r="J82" s="122">
        <f t="shared" si="14"/>
        <v>194.13625607816459</v>
      </c>
      <c r="K82" s="6"/>
      <c r="L82" s="7">
        <v>1.2600000000000005E-2</v>
      </c>
      <c r="M82" s="145">
        <f t="shared" si="10"/>
        <v>194.13625607816459</v>
      </c>
      <c r="O82" s="225">
        <f t="shared" si="12"/>
        <v>0.1</v>
      </c>
      <c r="P82" s="146"/>
      <c r="U82" s="4" t="e">
        <f>#REF!</f>
        <v>#REF!</v>
      </c>
    </row>
    <row r="83" spans="1:21" x14ac:dyDescent="0.25">
      <c r="A83">
        <v>2061</v>
      </c>
      <c r="B83" s="4">
        <f t="shared" si="11"/>
        <v>1.2500000000000001E-2</v>
      </c>
      <c r="C83" s="3">
        <f>IF(A83=Inputs!$P$1,1,IF(A83&lt;Inputs!$P$1,C84/(1+B83),C82*(1+B83)))</f>
        <v>1.5834931164613746</v>
      </c>
      <c r="D83" s="163">
        <f>Inputs!$C$32*UF*C83</f>
        <v>728406.83357223228</v>
      </c>
      <c r="E83" s="148">
        <f t="shared" si="8"/>
        <v>1813466.4543223656</v>
      </c>
      <c r="F83" s="148">
        <f t="shared" si="8"/>
        <v>1361313.929656245</v>
      </c>
      <c r="G83" s="148">
        <f t="shared" si="8"/>
        <v>1361313.929656245</v>
      </c>
      <c r="H83" s="6">
        <f t="shared" si="9"/>
        <v>130.82820128203878</v>
      </c>
      <c r="I83" s="122">
        <f t="shared" si="13"/>
        <v>196.56295927914164</v>
      </c>
      <c r="J83" s="122">
        <f t="shared" si="14"/>
        <v>196.56295927914164</v>
      </c>
      <c r="K83" s="6"/>
      <c r="L83" s="7">
        <v>1.2460000000000006E-2</v>
      </c>
      <c r="M83" s="145">
        <f t="shared" si="10"/>
        <v>196.56295927914164</v>
      </c>
      <c r="O83" s="225">
        <f t="shared" si="12"/>
        <v>0.1</v>
      </c>
      <c r="P83" s="146"/>
      <c r="U83" s="4" t="e">
        <f>#REF!</f>
        <v>#REF!</v>
      </c>
    </row>
    <row r="84" spans="1:21" x14ac:dyDescent="0.25">
      <c r="A84">
        <v>2062</v>
      </c>
      <c r="B84" s="4">
        <f t="shared" si="11"/>
        <v>1.2500000000000001E-2</v>
      </c>
      <c r="C84" s="3">
        <f>IF(A84=Inputs!$P$1,1,IF(A84&lt;Inputs!$P$1,C85/(1+B84),C83*(1+B84)))</f>
        <v>1.6032867804171418</v>
      </c>
      <c r="D84" s="163">
        <f>Inputs!$C$32*UF*C84</f>
        <v>737511.91899188526</v>
      </c>
      <c r="E84" s="148">
        <f t="shared" si="8"/>
        <v>1836134.785001395</v>
      </c>
      <c r="F84" s="148">
        <f t="shared" si="8"/>
        <v>1378330.3537769481</v>
      </c>
      <c r="G84" s="148">
        <f t="shared" si="8"/>
        <v>1378330.3537769481</v>
      </c>
      <c r="H84" s="6">
        <f t="shared" si="9"/>
        <v>132.46355379806425</v>
      </c>
      <c r="I84" s="122">
        <f t="shared" si="13"/>
        <v>199.01999627013089</v>
      </c>
      <c r="J84" s="122">
        <f t="shared" ref="J84:J115" si="15">J83*(1+B83)</f>
        <v>199.01999627013089</v>
      </c>
      <c r="K84" s="6"/>
      <c r="L84" s="7">
        <v>1.2320000000000006E-2</v>
      </c>
      <c r="M84" s="145">
        <f t="shared" si="10"/>
        <v>199.01999627013089</v>
      </c>
      <c r="O84" s="225">
        <f t="shared" si="12"/>
        <v>0.1</v>
      </c>
      <c r="P84" s="146"/>
      <c r="U84" s="4" t="e">
        <f>#REF!</f>
        <v>#REF!</v>
      </c>
    </row>
    <row r="85" spans="1:21" x14ac:dyDescent="0.25">
      <c r="A85">
        <v>2063</v>
      </c>
      <c r="B85" s="4">
        <f t="shared" si="11"/>
        <v>1.2500000000000001E-2</v>
      </c>
      <c r="C85" s="3">
        <f>IF(A85=Inputs!$P$1,1,IF(A85&lt;Inputs!$P$1,C86/(1+B85),C84*(1+B85)))</f>
        <v>1.6233278651723559</v>
      </c>
      <c r="D85" s="163">
        <f>Inputs!$C$32*UF*C85</f>
        <v>746730.81797928375</v>
      </c>
      <c r="E85" s="148">
        <f t="shared" si="8"/>
        <v>1859086.4698139124</v>
      </c>
      <c r="F85" s="148">
        <f t="shared" si="8"/>
        <v>1395559.4831991598</v>
      </c>
      <c r="G85" s="148">
        <f t="shared" si="8"/>
        <v>1395559.4831991598</v>
      </c>
      <c r="H85" s="6">
        <f t="shared" si="9"/>
        <v>134.11934822054005</v>
      </c>
      <c r="I85" s="122">
        <f t="shared" si="13"/>
        <v>201.50774622350752</v>
      </c>
      <c r="J85" s="122">
        <f t="shared" si="15"/>
        <v>201.50774622350752</v>
      </c>
      <c r="K85" s="6"/>
      <c r="L85" s="7">
        <v>1.2180000000000007E-2</v>
      </c>
      <c r="M85" s="145">
        <f t="shared" si="10"/>
        <v>201.50774622350752</v>
      </c>
      <c r="O85" s="225">
        <f t="shared" si="12"/>
        <v>0.1</v>
      </c>
      <c r="P85" s="146"/>
      <c r="U85" s="4" t="e">
        <f>#REF!</f>
        <v>#REF!</v>
      </c>
    </row>
    <row r="86" spans="1:21" x14ac:dyDescent="0.25">
      <c r="A86">
        <v>2064</v>
      </c>
      <c r="B86" s="4">
        <f t="shared" si="11"/>
        <v>1.2500000000000001E-2</v>
      </c>
      <c r="C86" s="3">
        <f>IF(A86=Inputs!$P$1,1,IF(A86&lt;Inputs!$P$1,C87/(1+B86),C85*(1+B86)))</f>
        <v>1.6436194634870103</v>
      </c>
      <c r="D86" s="163">
        <f>Inputs!$C$32*UF*C86</f>
        <v>756064.9532040247</v>
      </c>
      <c r="E86" s="148">
        <f t="shared" si="8"/>
        <v>1882325.0506865862</v>
      </c>
      <c r="F86" s="148">
        <f t="shared" si="8"/>
        <v>1413003.9767391493</v>
      </c>
      <c r="G86" s="148">
        <f t="shared" si="8"/>
        <v>1413003.9767391493</v>
      </c>
      <c r="H86" s="6">
        <f t="shared" si="9"/>
        <v>135.7958400732968</v>
      </c>
      <c r="I86" s="122">
        <f t="shared" si="13"/>
        <v>204.02659305130135</v>
      </c>
      <c r="J86" s="122">
        <f t="shared" si="15"/>
        <v>204.02659305130135</v>
      </c>
      <c r="K86" s="6"/>
      <c r="L86" s="7">
        <v>1.2040000000000007E-2</v>
      </c>
      <c r="M86" s="145">
        <f t="shared" si="10"/>
        <v>204.02659305130135</v>
      </c>
      <c r="O86" s="226">
        <f t="shared" si="12"/>
        <v>0.1</v>
      </c>
      <c r="P86" s="146"/>
      <c r="U86" s="4" t="e">
        <f>#REF!</f>
        <v>#REF!</v>
      </c>
    </row>
    <row r="87" spans="1:21" x14ac:dyDescent="0.25">
      <c r="A87">
        <v>2065</v>
      </c>
      <c r="B87" s="4">
        <f t="shared" si="11"/>
        <v>1.2500000000000001E-2</v>
      </c>
      <c r="C87" s="3">
        <f>IF(A87=Inputs!$P$1,1,IF(A87&lt;Inputs!$P$1,C88/(1+B87),C86*(1+B87)))</f>
        <v>1.6641647067805978</v>
      </c>
      <c r="D87" s="163">
        <f>Inputs!$C$32*UF*C87</f>
        <v>765515.76511907496</v>
      </c>
      <c r="E87" s="148">
        <f t="shared" si="8"/>
        <v>1905854.1138201684</v>
      </c>
      <c r="F87" s="148">
        <f t="shared" si="8"/>
        <v>1430666.5264483886</v>
      </c>
      <c r="G87" s="148">
        <f t="shared" si="8"/>
        <v>1430666.5264483886</v>
      </c>
      <c r="H87" s="6">
        <f t="shared" si="9"/>
        <v>137.49328807421301</v>
      </c>
      <c r="I87" s="122">
        <f t="shared" si="13"/>
        <v>206.57692546444261</v>
      </c>
      <c r="J87" s="122">
        <f t="shared" si="15"/>
        <v>206.57692546444261</v>
      </c>
      <c r="K87" s="6"/>
      <c r="L87" s="7">
        <v>1.1900000000000008E-2</v>
      </c>
      <c r="M87" s="145">
        <f t="shared" si="10"/>
        <v>206.57692546444261</v>
      </c>
      <c r="O87" s="219">
        <f t="shared" si="12"/>
        <v>0.1</v>
      </c>
      <c r="P87" s="146"/>
      <c r="U87" s="4" t="e">
        <f>#REF!</f>
        <v>#REF!</v>
      </c>
    </row>
    <row r="88" spans="1:21" x14ac:dyDescent="0.25">
      <c r="A88">
        <v>2066</v>
      </c>
      <c r="B88" s="4">
        <f t="shared" si="11"/>
        <v>1.2500000000000001E-2</v>
      </c>
      <c r="C88" s="3">
        <f>IF(A88=Inputs!$P$1,1,IF(A88&lt;Inputs!$P$1,C89/(1+B88),C87*(1+B88)))</f>
        <v>1.6849667656153553</v>
      </c>
      <c r="D88" s="163">
        <f>Inputs!$C$32*UF*C88</f>
        <v>775084.71218306338</v>
      </c>
      <c r="E88" s="148">
        <f t="shared" si="8"/>
        <v>1929677.2902429204</v>
      </c>
      <c r="F88" s="148">
        <f t="shared" si="8"/>
        <v>1448549.8580289935</v>
      </c>
      <c r="G88" s="148">
        <f t="shared" si="8"/>
        <v>1448549.8580289935</v>
      </c>
      <c r="H88" s="6">
        <f t="shared" si="9"/>
        <v>139.21195417514068</v>
      </c>
      <c r="I88" s="122">
        <f t="shared" si="13"/>
        <v>209.15913703274813</v>
      </c>
      <c r="J88" s="122">
        <f t="shared" si="15"/>
        <v>209.15913703274813</v>
      </c>
      <c r="K88" s="6"/>
      <c r="L88" s="7">
        <v>1.1760000000000008E-2</v>
      </c>
      <c r="M88" s="145">
        <f t="shared" si="10"/>
        <v>209.15913703274813</v>
      </c>
      <c r="O88" s="219">
        <f t="shared" si="12"/>
        <v>0.1</v>
      </c>
      <c r="P88" s="146"/>
      <c r="U88" s="4" t="e">
        <f>#REF!</f>
        <v>#REF!</v>
      </c>
    </row>
    <row r="89" spans="1:21" x14ac:dyDescent="0.25">
      <c r="A89">
        <v>2067</v>
      </c>
      <c r="B89" s="4">
        <f t="shared" si="11"/>
        <v>1.2500000000000001E-2</v>
      </c>
      <c r="C89" s="3">
        <f>IF(A89=Inputs!$P$1,1,IF(A89&lt;Inputs!$P$1,C90/(1+B89),C88*(1+B89)))</f>
        <v>1.7060288501855472</v>
      </c>
      <c r="D89" s="163">
        <f>Inputs!$C$32*UF*C89</f>
        <v>784773.27108535171</v>
      </c>
      <c r="E89" s="148">
        <f t="shared" si="8"/>
        <v>1953798.2563709568</v>
      </c>
      <c r="F89" s="148">
        <f t="shared" si="8"/>
        <v>1466656.7312543557</v>
      </c>
      <c r="G89" s="148">
        <f t="shared" si="8"/>
        <v>1466656.7312543557</v>
      </c>
      <c r="H89" s="6">
        <f t="shared" si="9"/>
        <v>140.95210360232994</v>
      </c>
      <c r="I89" s="122">
        <f t="shared" si="13"/>
        <v>211.77362624565748</v>
      </c>
      <c r="J89" s="122">
        <f t="shared" si="15"/>
        <v>211.77362624565748</v>
      </c>
      <c r="K89" s="6"/>
      <c r="L89" s="7">
        <v>1.1620000000000009E-2</v>
      </c>
      <c r="M89" s="145">
        <f t="shared" si="10"/>
        <v>211.77362624565748</v>
      </c>
      <c r="O89" s="219">
        <f t="shared" si="12"/>
        <v>0.1</v>
      </c>
      <c r="P89" s="146"/>
      <c r="U89" s="4" t="e">
        <f>#REF!</f>
        <v>#REF!</v>
      </c>
    </row>
    <row r="90" spans="1:21" x14ac:dyDescent="0.25">
      <c r="A90">
        <v>2068</v>
      </c>
      <c r="B90" s="4">
        <f t="shared" si="11"/>
        <v>1.2500000000000001E-2</v>
      </c>
      <c r="C90" s="3">
        <f>IF(A90=Inputs!$P$1,1,IF(A90&lt;Inputs!$P$1,C91/(1+B90),C89*(1+B90)))</f>
        <v>1.7273542108128663</v>
      </c>
      <c r="D90" s="163">
        <f>Inputs!$C$32*UF*C90</f>
        <v>794582.93697391846</v>
      </c>
      <c r="E90" s="148">
        <f t="shared" si="8"/>
        <v>1978220.7345755936</v>
      </c>
      <c r="F90" s="148">
        <f t="shared" si="8"/>
        <v>1484989.9403950351</v>
      </c>
      <c r="G90" s="148">
        <f t="shared" si="8"/>
        <v>1484989.9403950351</v>
      </c>
      <c r="H90" s="6">
        <f t="shared" si="9"/>
        <v>142.71400489735905</v>
      </c>
      <c r="I90" s="122">
        <f t="shared" si="13"/>
        <v>214.42079657372818</v>
      </c>
      <c r="J90" s="122">
        <f t="shared" si="15"/>
        <v>214.42079657372818</v>
      </c>
      <c r="K90" s="6"/>
      <c r="L90" s="7">
        <v>1.1480000000000009E-2</v>
      </c>
      <c r="M90" s="145">
        <f t="shared" si="10"/>
        <v>214.42079657372818</v>
      </c>
      <c r="O90" s="219">
        <f t="shared" si="12"/>
        <v>0.1</v>
      </c>
      <c r="P90" s="146"/>
      <c r="U90" s="4" t="e">
        <f>#REF!</f>
        <v>#REF!</v>
      </c>
    </row>
    <row r="91" spans="1:21" x14ac:dyDescent="0.25">
      <c r="A91">
        <v>2069</v>
      </c>
      <c r="B91" s="4">
        <f t="shared" si="11"/>
        <v>1.2500000000000001E-2</v>
      </c>
      <c r="C91" s="3">
        <f>IF(A91=Inputs!$P$1,1,IF(A91&lt;Inputs!$P$1,C92/(1+B91),C90*(1+B91)))</f>
        <v>1.7489461384480272</v>
      </c>
      <c r="D91" s="163">
        <f>Inputs!$C$32*UF*C91</f>
        <v>804515.22368609253</v>
      </c>
      <c r="E91" s="148">
        <f t="shared" si="8"/>
        <v>2002948.4937577886</v>
      </c>
      <c r="F91" s="148">
        <f t="shared" si="8"/>
        <v>1503552.3146499731</v>
      </c>
      <c r="G91" s="148">
        <f t="shared" si="8"/>
        <v>1503552.3146499731</v>
      </c>
      <c r="H91" s="6">
        <f t="shared" si="9"/>
        <v>144.49792995857604</v>
      </c>
      <c r="I91" s="122">
        <f t="shared" si="13"/>
        <v>217.10105653089977</v>
      </c>
      <c r="J91" s="122">
        <f t="shared" si="15"/>
        <v>217.10105653089977</v>
      </c>
      <c r="K91" s="6"/>
      <c r="L91" s="7">
        <v>1.134000000000001E-2</v>
      </c>
      <c r="M91" s="145">
        <f t="shared" si="10"/>
        <v>217.10105653089977</v>
      </c>
      <c r="O91" s="219">
        <f t="shared" si="12"/>
        <v>0.1</v>
      </c>
      <c r="P91" s="146"/>
      <c r="U91" s="4" t="e">
        <f>#REF!</f>
        <v>#REF!</v>
      </c>
    </row>
    <row r="92" spans="1:21" x14ac:dyDescent="0.25">
      <c r="A92">
        <v>2070</v>
      </c>
      <c r="B92" s="4">
        <f t="shared" si="11"/>
        <v>1.2500000000000001E-2</v>
      </c>
      <c r="C92" s="3">
        <f>IF(A92=Inputs!$P$1,1,IF(A92&lt;Inputs!$P$1,C93/(1+B92),C91*(1+B92)))</f>
        <v>1.7708079651786275</v>
      </c>
      <c r="D92" s="163">
        <f>Inputs!$C$32*UF*C92</f>
        <v>814571.66398216865</v>
      </c>
      <c r="E92" s="148">
        <f t="shared" si="8"/>
        <v>2027985.3499297609</v>
      </c>
      <c r="F92" s="148">
        <f t="shared" si="8"/>
        <v>1522346.7185830977</v>
      </c>
      <c r="G92" s="148">
        <f t="shared" si="8"/>
        <v>1522346.7185830977</v>
      </c>
      <c r="H92" s="6">
        <f t="shared" si="9"/>
        <v>146.30415408305822</v>
      </c>
      <c r="I92" s="122">
        <f t="shared" si="13"/>
        <v>219.814819737536</v>
      </c>
      <c r="J92" s="122">
        <f t="shared" si="15"/>
        <v>219.814819737536</v>
      </c>
      <c r="K92" s="6"/>
      <c r="L92" s="7">
        <v>1.120000000000001E-2</v>
      </c>
      <c r="M92" s="145">
        <f t="shared" si="10"/>
        <v>219.814819737536</v>
      </c>
      <c r="O92" s="219">
        <f t="shared" si="12"/>
        <v>0.1</v>
      </c>
      <c r="P92" s="146"/>
      <c r="U92" s="4" t="e">
        <f>#REF!</f>
        <v>#REF!</v>
      </c>
    </row>
    <row r="93" spans="1:21" x14ac:dyDescent="0.25">
      <c r="A93">
        <v>2071</v>
      </c>
      <c r="B93" s="4">
        <f t="shared" si="11"/>
        <v>1.2500000000000001E-2</v>
      </c>
      <c r="C93" s="3">
        <f>IF(A93=Inputs!$P$1,1,IF(A93&lt;Inputs!$P$1,C94/(1+B93),C92*(1+B93)))</f>
        <v>1.7929430647433602</v>
      </c>
      <c r="D93" s="163">
        <f>Inputs!$C$32*UF*C93</f>
        <v>824753.80978194566</v>
      </c>
      <c r="E93" s="148">
        <f t="shared" si="8"/>
        <v>2053335.1668038829</v>
      </c>
      <c r="F93" s="148">
        <f t="shared" si="8"/>
        <v>1541376.0525653863</v>
      </c>
      <c r="G93" s="148">
        <f t="shared" si="8"/>
        <v>1541376.0525653863</v>
      </c>
      <c r="H93" s="6">
        <f t="shared" si="9"/>
        <v>148.13295600909643</v>
      </c>
      <c r="I93" s="122">
        <f t="shared" si="13"/>
        <v>222.56250498425518</v>
      </c>
      <c r="J93" s="122">
        <f t="shared" si="15"/>
        <v>222.56250498425518</v>
      </c>
      <c r="K93" s="6"/>
      <c r="L93" s="7">
        <v>1.1060000000000011E-2</v>
      </c>
      <c r="M93" s="145">
        <f t="shared" si="10"/>
        <v>222.56250498425518</v>
      </c>
      <c r="O93" s="219">
        <f t="shared" si="12"/>
        <v>0.1</v>
      </c>
      <c r="P93" s="146"/>
      <c r="U93" s="4" t="e">
        <f>#REF!</f>
        <v>#REF!</v>
      </c>
    </row>
    <row r="94" spans="1:21" x14ac:dyDescent="0.25">
      <c r="A94">
        <v>2072</v>
      </c>
      <c r="B94" s="4">
        <f t="shared" si="11"/>
        <v>1.2500000000000001E-2</v>
      </c>
      <c r="C94" s="3">
        <f>IF(A94=Inputs!$P$1,1,IF(A94&lt;Inputs!$P$1,C95/(1+B94),C93*(1+B94)))</f>
        <v>1.8153548530526522</v>
      </c>
      <c r="D94" s="163">
        <f>Inputs!$C$32*UF*C94</f>
        <v>835063.23240422003</v>
      </c>
      <c r="E94" s="148">
        <f t="shared" si="8"/>
        <v>2079001.8563889314</v>
      </c>
      <c r="F94" s="148">
        <f t="shared" si="8"/>
        <v>1560643.2532224536</v>
      </c>
      <c r="G94" s="148">
        <f t="shared" si="8"/>
        <v>1560643.2532224536</v>
      </c>
      <c r="H94" s="6">
        <f t="shared" si="9"/>
        <v>149.98461795921014</v>
      </c>
      <c r="I94" s="122">
        <f t="shared" si="13"/>
        <v>225.34453629655837</v>
      </c>
      <c r="J94" s="122">
        <f t="shared" si="15"/>
        <v>225.34453629655837</v>
      </c>
      <c r="K94" s="6"/>
      <c r="L94" s="7">
        <v>1.0920000000000011E-2</v>
      </c>
      <c r="M94" s="145">
        <f t="shared" si="10"/>
        <v>225.34453629655837</v>
      </c>
      <c r="O94" s="219">
        <f t="shared" si="12"/>
        <v>0.1</v>
      </c>
      <c r="P94" s="146"/>
      <c r="U94" s="4" t="e">
        <f>#REF!</f>
        <v>#REF!</v>
      </c>
    </row>
    <row r="95" spans="1:21" x14ac:dyDescent="0.25">
      <c r="A95">
        <v>2073</v>
      </c>
      <c r="B95" s="4">
        <f t="shared" si="11"/>
        <v>1.2500000000000001E-2</v>
      </c>
      <c r="C95" s="3">
        <f>IF(A95=Inputs!$P$1,1,IF(A95&lt;Inputs!$P$1,C96/(1+B95),C94*(1+B95)))</f>
        <v>1.8380467887158103</v>
      </c>
      <c r="D95" s="163">
        <f>Inputs!$C$32*UF*C95</f>
        <v>845501.52280927275</v>
      </c>
      <c r="E95" s="148">
        <f t="shared" si="8"/>
        <v>2104989.3795937928</v>
      </c>
      <c r="F95" s="148">
        <f t="shared" si="8"/>
        <v>1580151.2938877342</v>
      </c>
      <c r="G95" s="148">
        <f t="shared" si="8"/>
        <v>1580151.2938877342</v>
      </c>
      <c r="H95" s="6">
        <f t="shared" si="9"/>
        <v>151.85942568370027</v>
      </c>
      <c r="I95" s="122">
        <f t="shared" si="13"/>
        <v>228.16134300026533</v>
      </c>
      <c r="J95" s="122">
        <f t="shared" si="15"/>
        <v>228.16134300026533</v>
      </c>
      <c r="K95" s="6"/>
      <c r="L95" s="7">
        <v>1.0780000000000012E-2</v>
      </c>
      <c r="M95" s="145">
        <f t="shared" si="10"/>
        <v>228.16134300026533</v>
      </c>
      <c r="O95" s="219">
        <f t="shared" si="12"/>
        <v>0.1</v>
      </c>
      <c r="P95" s="146"/>
      <c r="U95" s="4" t="e">
        <f>#REF!</f>
        <v>#REF!</v>
      </c>
    </row>
    <row r="96" spans="1:21" x14ac:dyDescent="0.25">
      <c r="A96">
        <v>2074</v>
      </c>
      <c r="B96" s="4">
        <f t="shared" si="11"/>
        <v>1.2500000000000001E-2</v>
      </c>
      <c r="C96" s="3">
        <f>IF(A96=Inputs!$P$1,1,IF(A96&lt;Inputs!$P$1,C97/(1+B96),C95*(1+B96)))</f>
        <v>1.8610223735747577</v>
      </c>
      <c r="D96" s="163">
        <f>Inputs!$C$32*UF*C96</f>
        <v>856070.29184438859</v>
      </c>
      <c r="E96" s="148">
        <f t="shared" si="8"/>
        <v>2131301.7468387149</v>
      </c>
      <c r="F96" s="148">
        <f t="shared" si="8"/>
        <v>1599903.1850613307</v>
      </c>
      <c r="G96" s="148">
        <f t="shared" si="8"/>
        <v>1599903.1850613307</v>
      </c>
      <c r="H96" s="6">
        <f t="shared" si="9"/>
        <v>153.7576685047465</v>
      </c>
      <c r="I96" s="122">
        <f t="shared" si="13"/>
        <v>231.01335978776865</v>
      </c>
      <c r="J96" s="122">
        <f t="shared" si="15"/>
        <v>231.01335978776865</v>
      </c>
      <c r="K96" s="6"/>
      <c r="L96" s="7">
        <v>1.0640000000000012E-2</v>
      </c>
      <c r="M96" s="145">
        <f t="shared" si="10"/>
        <v>231.01335978776865</v>
      </c>
      <c r="O96" s="219">
        <f t="shared" si="12"/>
        <v>0.1</v>
      </c>
      <c r="P96" s="146"/>
      <c r="U96" s="4" t="e">
        <f>#REF!</f>
        <v>#REF!</v>
      </c>
    </row>
    <row r="97" spans="1:21" x14ac:dyDescent="0.25">
      <c r="A97">
        <v>2075</v>
      </c>
      <c r="B97" s="4">
        <f t="shared" si="11"/>
        <v>1.2500000000000001E-2</v>
      </c>
      <c r="C97" s="3">
        <f>IF(A97=Inputs!$P$1,1,IF(A97&lt;Inputs!$P$1,C98/(1+B97),C96*(1+B97)))</f>
        <v>1.8842851532444422</v>
      </c>
      <c r="D97" s="163">
        <f>Inputs!$C$32*UF*C97</f>
        <v>866771.17049244337</v>
      </c>
      <c r="E97" s="148">
        <f t="shared" si="8"/>
        <v>2157943.0186741985</v>
      </c>
      <c r="F97" s="148">
        <f t="shared" si="8"/>
        <v>1619901.9748745973</v>
      </c>
      <c r="G97" s="148">
        <f t="shared" si="8"/>
        <v>1619901.9748745973</v>
      </c>
      <c r="H97" s="6">
        <f t="shared" si="9"/>
        <v>155.67963936105582</v>
      </c>
      <c r="I97" s="122">
        <f t="shared" si="13"/>
        <v>233.90102678511576</v>
      </c>
      <c r="J97" s="122">
        <f t="shared" si="15"/>
        <v>233.90102678511576</v>
      </c>
      <c r="K97" s="6"/>
      <c r="L97" s="7">
        <v>1.0500000000000013E-2</v>
      </c>
      <c r="M97" s="145">
        <f t="shared" si="10"/>
        <v>233.90102678511576</v>
      </c>
      <c r="O97" s="219">
        <f t="shared" si="12"/>
        <v>0.1</v>
      </c>
      <c r="P97" s="146"/>
      <c r="U97" s="4" t="e">
        <f>#REF!</f>
        <v>#REF!</v>
      </c>
    </row>
    <row r="98" spans="1:21" x14ac:dyDescent="0.25">
      <c r="A98">
        <v>2076</v>
      </c>
      <c r="B98" s="4">
        <f t="shared" si="11"/>
        <v>1.2500000000000001E-2</v>
      </c>
      <c r="C98" s="3">
        <f>IF(A98=Inputs!$P$1,1,IF(A98&lt;Inputs!$P$1,C99/(1+B98),C97*(1+B98)))</f>
        <v>1.9078387176599976</v>
      </c>
      <c r="D98" s="163">
        <f>Inputs!$C$32*UF*C98</f>
        <v>877605.8101235989</v>
      </c>
      <c r="E98" s="148">
        <f t="shared" si="8"/>
        <v>2184917.3064076258</v>
      </c>
      <c r="F98" s="148">
        <f t="shared" si="8"/>
        <v>1640150.7495605296</v>
      </c>
      <c r="G98" s="148">
        <f t="shared" si="8"/>
        <v>1640150.7495605296</v>
      </c>
      <c r="H98" s="6">
        <f t="shared" si="9"/>
        <v>157.62563485306902</v>
      </c>
      <c r="I98" s="122">
        <f t="shared" si="13"/>
        <v>236.8247896199297</v>
      </c>
      <c r="J98" s="122">
        <f t="shared" si="15"/>
        <v>236.8247896199297</v>
      </c>
      <c r="K98" s="6"/>
      <c r="L98" s="7">
        <v>1.0360000000000013E-2</v>
      </c>
      <c r="M98" s="145">
        <f t="shared" si="10"/>
        <v>236.8247896199297</v>
      </c>
      <c r="O98" s="219">
        <f t="shared" si="12"/>
        <v>0.1</v>
      </c>
      <c r="P98" s="146"/>
      <c r="U98" s="4" t="e">
        <f>#REF!</f>
        <v>#REF!</v>
      </c>
    </row>
    <row r="99" spans="1:21" x14ac:dyDescent="0.25">
      <c r="A99">
        <v>2077</v>
      </c>
      <c r="B99" s="4">
        <f t="shared" si="11"/>
        <v>1.2500000000000001E-2</v>
      </c>
      <c r="C99" s="3">
        <f>IF(A99=Inputs!$P$1,1,IF(A99&lt;Inputs!$P$1,C100/(1+B99),C98*(1+B99)))</f>
        <v>1.9316867016307475</v>
      </c>
      <c r="D99" s="163">
        <f>Inputs!$C$32*UF*C99</f>
        <v>888575.88275014388</v>
      </c>
      <c r="E99" s="148">
        <f t="shared" si="8"/>
        <v>2212228.772737721</v>
      </c>
      <c r="F99" s="148">
        <f t="shared" si="8"/>
        <v>1660652.6339300361</v>
      </c>
      <c r="G99" s="148">
        <f t="shared" si="8"/>
        <v>1660652.6339300361</v>
      </c>
      <c r="H99" s="6">
        <f t="shared" si="9"/>
        <v>159.59595528873237</v>
      </c>
      <c r="I99" s="122">
        <f t="shared" si="13"/>
        <v>239.78509949017882</v>
      </c>
      <c r="J99" s="122">
        <f t="shared" si="15"/>
        <v>239.78509949017882</v>
      </c>
      <c r="K99" s="6"/>
      <c r="L99" s="7">
        <v>1.0220000000000014E-2</v>
      </c>
      <c r="M99" s="145">
        <f t="shared" si="10"/>
        <v>239.78509949017882</v>
      </c>
      <c r="O99" s="219">
        <f t="shared" si="12"/>
        <v>0.1</v>
      </c>
      <c r="P99" s="146"/>
      <c r="U99" s="4" t="e">
        <f>#REF!</f>
        <v>#REF!</v>
      </c>
    </row>
    <row r="100" spans="1:21" x14ac:dyDescent="0.25">
      <c r="A100">
        <v>2078</v>
      </c>
      <c r="B100" s="4">
        <f t="shared" si="11"/>
        <v>1.2500000000000001E-2</v>
      </c>
      <c r="C100" s="3">
        <f>IF(A100=Inputs!$P$1,1,IF(A100&lt;Inputs!$P$1,C101/(1+B100),C99*(1+B100)))</f>
        <v>1.9558327854011317</v>
      </c>
      <c r="D100" s="163">
        <f>Inputs!$C$32*UF*C100</f>
        <v>899683.08128452057</v>
      </c>
      <c r="E100" s="148">
        <f t="shared" si="8"/>
        <v>2239881.6323969425</v>
      </c>
      <c r="F100" s="148">
        <f t="shared" si="8"/>
        <v>1681410.7918541615</v>
      </c>
      <c r="G100" s="148">
        <f t="shared" si="8"/>
        <v>1681410.7918541615</v>
      </c>
      <c r="H100" s="6">
        <f t="shared" si="9"/>
        <v>161.59090472984153</v>
      </c>
      <c r="I100" s="122">
        <f t="shared" si="13"/>
        <v>242.78241323380604</v>
      </c>
      <c r="J100" s="122">
        <f t="shared" si="15"/>
        <v>242.78241323380604</v>
      </c>
      <c r="K100" s="6"/>
      <c r="L100" s="7">
        <v>1.0080000000000014E-2</v>
      </c>
      <c r="M100" s="145">
        <f t="shared" si="10"/>
        <v>242.78241323380604</v>
      </c>
      <c r="O100" s="219">
        <f t="shared" si="12"/>
        <v>0.1</v>
      </c>
      <c r="P100" s="146"/>
      <c r="U100" s="4" t="e">
        <f>#REF!</f>
        <v>#REF!</v>
      </c>
    </row>
    <row r="101" spans="1:21" x14ac:dyDescent="0.25">
      <c r="A101">
        <v>2079</v>
      </c>
      <c r="B101" s="4">
        <f t="shared" si="11"/>
        <v>1.2500000000000001E-2</v>
      </c>
      <c r="C101" s="3">
        <f>IF(A101=Inputs!$P$1,1,IF(A101&lt;Inputs!$P$1,C102/(1+B101),C100*(1+B101)))</f>
        <v>1.9802806952186458</v>
      </c>
      <c r="D101" s="163">
        <f>Inputs!$C$32*UF*C101</f>
        <v>910929.11980057706</v>
      </c>
      <c r="E101" s="148">
        <f t="shared" si="8"/>
        <v>2267880.1528019044</v>
      </c>
      <c r="F101" s="148">
        <f t="shared" si="8"/>
        <v>1702428.4267523384</v>
      </c>
      <c r="G101" s="148">
        <f t="shared" si="8"/>
        <v>1702428.4267523384</v>
      </c>
      <c r="H101" s="6">
        <f t="shared" si="9"/>
        <v>163.61079103896455</v>
      </c>
      <c r="I101" s="122">
        <f t="shared" si="13"/>
        <v>245.81719339922861</v>
      </c>
      <c r="J101" s="122">
        <f t="shared" si="15"/>
        <v>245.81719339922861</v>
      </c>
      <c r="K101" s="6"/>
      <c r="L101" s="7">
        <v>9.9400000000000148E-3</v>
      </c>
      <c r="M101" s="145">
        <f t="shared" si="10"/>
        <v>245.81719339922861</v>
      </c>
      <c r="O101" s="219">
        <f t="shared" si="12"/>
        <v>0.1</v>
      </c>
      <c r="P101" s="146"/>
      <c r="U101" s="4" t="e">
        <f>#REF!</f>
        <v>#REF!</v>
      </c>
    </row>
    <row r="102" spans="1:21" x14ac:dyDescent="0.25">
      <c r="A102">
        <v>2080</v>
      </c>
      <c r="B102" s="4">
        <f t="shared" si="11"/>
        <v>1.2500000000000001E-2</v>
      </c>
      <c r="C102" s="3">
        <f>IF(A102=Inputs!$P$1,1,IF(A102&lt;Inputs!$P$1,C103/(1+B102),C101*(1+B102)))</f>
        <v>2.0050342039088789</v>
      </c>
      <c r="D102" s="163">
        <f>Inputs!$C$32*UF*C102</f>
        <v>922315.73379808431</v>
      </c>
      <c r="E102" s="148">
        <f t="shared" si="8"/>
        <v>2296228.6547119282</v>
      </c>
      <c r="F102" s="148">
        <f t="shared" si="8"/>
        <v>1723708.7820867426</v>
      </c>
      <c r="G102" s="148">
        <f t="shared" si="8"/>
        <v>1723708.7820867426</v>
      </c>
      <c r="H102" s="6">
        <f t="shared" si="9"/>
        <v>165.6559259269516</v>
      </c>
      <c r="I102" s="122">
        <f t="shared" si="13"/>
        <v>248.88990831671896</v>
      </c>
      <c r="J102" s="122">
        <f t="shared" si="15"/>
        <v>248.88990831671896</v>
      </c>
      <c r="K102" s="6"/>
      <c r="L102" s="7">
        <v>9.8000000000000153E-3</v>
      </c>
      <c r="M102" s="145">
        <f t="shared" si="10"/>
        <v>248.88990831671896</v>
      </c>
      <c r="O102" s="219">
        <f t="shared" si="12"/>
        <v>0.1</v>
      </c>
      <c r="P102" s="146"/>
      <c r="U102" s="4" t="e">
        <f>#REF!</f>
        <v>#REF!</v>
      </c>
    </row>
    <row r="103" spans="1:21" x14ac:dyDescent="0.25">
      <c r="A103">
        <v>2081</v>
      </c>
      <c r="B103" s="4">
        <f t="shared" si="11"/>
        <v>1.2500000000000001E-2</v>
      </c>
      <c r="C103" s="3">
        <f>IF(A103=Inputs!$P$1,1,IF(A103&lt;Inputs!$P$1,C104/(1+B103),C102*(1+B103)))</f>
        <v>2.0300971314577398</v>
      </c>
      <c r="D103" s="163">
        <f>Inputs!$C$32*UF*C103</f>
        <v>933844.68047056033</v>
      </c>
      <c r="E103" s="148">
        <f t="shared" si="8"/>
        <v>2324931.5128958272</v>
      </c>
      <c r="F103" s="148">
        <f t="shared" si="8"/>
        <v>1745255.1418628269</v>
      </c>
      <c r="G103" s="148">
        <f t="shared" si="8"/>
        <v>1745255.1418628269</v>
      </c>
      <c r="H103" s="6">
        <f t="shared" si="9"/>
        <v>167.72662500103849</v>
      </c>
      <c r="I103" s="122">
        <f t="shared" si="13"/>
        <v>252.00103217067795</v>
      </c>
      <c r="J103" s="122">
        <f t="shared" si="15"/>
        <v>252.00103217067795</v>
      </c>
      <c r="K103" s="6"/>
      <c r="L103" s="7">
        <v>9.6600000000000158E-3</v>
      </c>
      <c r="M103" s="145">
        <f t="shared" si="10"/>
        <v>252.00103217067795</v>
      </c>
      <c r="O103" s="219">
        <f t="shared" si="12"/>
        <v>0.1</v>
      </c>
      <c r="P103" s="146"/>
      <c r="U103" s="4" t="e">
        <f>#REF!</f>
        <v>#REF!</v>
      </c>
    </row>
    <row r="104" spans="1:21" x14ac:dyDescent="0.25">
      <c r="A104">
        <v>2082</v>
      </c>
      <c r="B104" s="4">
        <f t="shared" si="11"/>
        <v>1.2500000000000001E-2</v>
      </c>
      <c r="C104" s="3">
        <f>IF(A104=Inputs!$P$1,1,IF(A104&lt;Inputs!$P$1,C105/(1+B104),C103*(1+B104)))</f>
        <v>2.0554733456009613</v>
      </c>
      <c r="D104" s="163">
        <f>Inputs!$C$32*UF*C104</f>
        <v>945517.73897644214</v>
      </c>
      <c r="E104" s="148">
        <f t="shared" si="8"/>
        <v>2353993.156807025</v>
      </c>
      <c r="F104" s="148">
        <f t="shared" si="8"/>
        <v>1767070.8311361121</v>
      </c>
      <c r="G104" s="148">
        <f t="shared" si="8"/>
        <v>1767070.8311361121</v>
      </c>
      <c r="H104" s="6">
        <f t="shared" si="9"/>
        <v>169.82320781355145</v>
      </c>
      <c r="I104" s="122">
        <f t="shared" si="13"/>
        <v>255.1510450728114</v>
      </c>
      <c r="J104" s="122">
        <f t="shared" si="15"/>
        <v>255.1510450728114</v>
      </c>
      <c r="K104" s="6"/>
      <c r="L104" s="7">
        <v>9.5200000000000163E-3</v>
      </c>
      <c r="M104" s="145">
        <f t="shared" si="10"/>
        <v>255.1510450728114</v>
      </c>
      <c r="O104" s="219">
        <f t="shared" si="12"/>
        <v>0.1</v>
      </c>
      <c r="P104" s="146"/>
      <c r="U104" s="4" t="e">
        <f>#REF!</f>
        <v>#REF!</v>
      </c>
    </row>
    <row r="105" spans="1:21" x14ac:dyDescent="0.25">
      <c r="A105">
        <v>2083</v>
      </c>
      <c r="B105" s="4">
        <f t="shared" si="11"/>
        <v>1.2500000000000001E-2</v>
      </c>
      <c r="C105" s="3">
        <f>IF(A105=Inputs!$P$1,1,IF(A105&lt;Inputs!$P$1,C106/(1+B105),C104*(1+B105)))</f>
        <v>2.0811667624209731</v>
      </c>
      <c r="D105" s="163">
        <f>Inputs!$C$32*UF*C105</f>
        <v>957336.71071364766</v>
      </c>
      <c r="E105" s="148">
        <f t="shared" si="8"/>
        <v>2383418.0712671126</v>
      </c>
      <c r="F105" s="148">
        <f t="shared" si="8"/>
        <v>1789159.2165253134</v>
      </c>
      <c r="G105" s="148">
        <f t="shared" si="8"/>
        <v>1789159.2165253134</v>
      </c>
      <c r="H105" s="6">
        <f t="shared" si="9"/>
        <v>171.94599791122084</v>
      </c>
      <c r="I105" s="122">
        <f t="shared" si="13"/>
        <v>258.34043313622152</v>
      </c>
      <c r="J105" s="122">
        <f t="shared" si="15"/>
        <v>258.34043313622152</v>
      </c>
      <c r="K105" s="6"/>
      <c r="L105" s="7">
        <v>9.3800000000000168E-3</v>
      </c>
      <c r="M105" s="145">
        <f t="shared" si="10"/>
        <v>258.34043313622152</v>
      </c>
      <c r="O105" s="219">
        <f t="shared" si="12"/>
        <v>0.1</v>
      </c>
      <c r="P105" s="146"/>
      <c r="U105" s="4" t="e">
        <f>#REF!</f>
        <v>#REF!</v>
      </c>
    </row>
    <row r="106" spans="1:21" x14ac:dyDescent="0.25">
      <c r="A106">
        <v>2084</v>
      </c>
      <c r="B106" s="4">
        <f t="shared" si="11"/>
        <v>1.2500000000000001E-2</v>
      </c>
      <c r="C106" s="3">
        <f>IF(A106=Inputs!$P$1,1,IF(A106&lt;Inputs!$P$1,C107/(1+B106),C105*(1+B106)))</f>
        <v>2.107181346951235</v>
      </c>
      <c r="D106" s="163">
        <f>Inputs!$C$32*UF*C106</f>
        <v>969303.41959756811</v>
      </c>
      <c r="E106" s="148">
        <f t="shared" si="8"/>
        <v>2413210.7971579516</v>
      </c>
      <c r="F106" s="148">
        <f t="shared" si="8"/>
        <v>1811523.7067318799</v>
      </c>
      <c r="G106" s="148">
        <f t="shared" si="8"/>
        <v>1811523.7067318799</v>
      </c>
      <c r="H106" s="6">
        <f t="shared" si="9"/>
        <v>174.0953228851111</v>
      </c>
      <c r="I106" s="122">
        <f t="shared" si="13"/>
        <v>261.5696885504243</v>
      </c>
      <c r="J106" s="122">
        <f t="shared" si="15"/>
        <v>261.5696885504243</v>
      </c>
      <c r="K106" s="6"/>
      <c r="L106" s="7">
        <v>9.2400000000000173E-3</v>
      </c>
      <c r="M106" s="145">
        <f t="shared" si="10"/>
        <v>261.5696885504243</v>
      </c>
      <c r="O106" s="219">
        <f t="shared" si="12"/>
        <v>0.1</v>
      </c>
      <c r="P106" s="146"/>
      <c r="U106" s="4" t="e">
        <f>#REF!</f>
        <v>#REF!</v>
      </c>
    </row>
    <row r="107" spans="1:21" x14ac:dyDescent="0.25">
      <c r="A107">
        <v>2085</v>
      </c>
      <c r="B107" s="4">
        <f t="shared" si="11"/>
        <v>1.2500000000000001E-2</v>
      </c>
      <c r="C107" s="3">
        <f>IF(A107=Inputs!$P$1,1,IF(A107&lt;Inputs!$P$1,C108/(1+B107),C106*(1+B107)))</f>
        <v>2.1335211137881256</v>
      </c>
      <c r="D107" s="163">
        <f>Inputs!$C$32*UF*C107</f>
        <v>981419.71234253782</v>
      </c>
      <c r="E107" s="148">
        <f t="shared" si="8"/>
        <v>2443375.9321224261</v>
      </c>
      <c r="F107" s="148">
        <f t="shared" si="8"/>
        <v>1834167.7530660282</v>
      </c>
      <c r="G107" s="148">
        <f t="shared" si="8"/>
        <v>1834167.7530660282</v>
      </c>
      <c r="H107" s="6">
        <f t="shared" si="9"/>
        <v>176.27151442117497</v>
      </c>
      <c r="I107" s="122">
        <f t="shared" si="13"/>
        <v>264.83930965730457</v>
      </c>
      <c r="J107" s="122">
        <f t="shared" si="15"/>
        <v>264.83930965730457</v>
      </c>
      <c r="K107" s="6"/>
      <c r="L107" s="7">
        <v>9.1000000000000178E-3</v>
      </c>
      <c r="M107" s="145">
        <f t="shared" si="10"/>
        <v>264.83930965730457</v>
      </c>
      <c r="O107" s="219">
        <f t="shared" si="12"/>
        <v>0.1</v>
      </c>
      <c r="P107" s="146"/>
      <c r="U107" s="4" t="e">
        <f>#REF!</f>
        <v>#REF!</v>
      </c>
    </row>
    <row r="108" spans="1:21" x14ac:dyDescent="0.25">
      <c r="A108">
        <v>2086</v>
      </c>
      <c r="B108" s="4">
        <f t="shared" si="11"/>
        <v>1.2500000000000001E-2</v>
      </c>
      <c r="C108" s="3">
        <f>IF(A108=Inputs!$P$1,1,IF(A108&lt;Inputs!$P$1,C109/(1+B108),C107*(1+B108)))</f>
        <v>2.1601901277104769</v>
      </c>
      <c r="D108" s="163">
        <f>Inputs!$C$32*UF*C108</f>
        <v>993687.45874681941</v>
      </c>
      <c r="E108" s="148">
        <f t="shared" si="8"/>
        <v>2473918.1312739565</v>
      </c>
      <c r="F108" s="148">
        <f t="shared" si="8"/>
        <v>1857094.8499793536</v>
      </c>
      <c r="G108" s="148">
        <f t="shared" si="8"/>
        <v>1857094.8499793536</v>
      </c>
      <c r="H108" s="6">
        <f t="shared" si="9"/>
        <v>178.47490835143964</v>
      </c>
      <c r="I108" s="122">
        <f t="shared" si="13"/>
        <v>268.14980102802087</v>
      </c>
      <c r="J108" s="122">
        <f t="shared" si="15"/>
        <v>268.14980102802087</v>
      </c>
      <c r="K108" s="6"/>
      <c r="L108" s="7">
        <v>8.9600000000000183E-3</v>
      </c>
      <c r="M108" s="145">
        <f t="shared" si="10"/>
        <v>268.14980102802087</v>
      </c>
      <c r="O108" s="219">
        <f t="shared" si="12"/>
        <v>0.1</v>
      </c>
      <c r="P108" s="146"/>
      <c r="U108" s="4" t="e">
        <f>#REF!</f>
        <v>#REF!</v>
      </c>
    </row>
    <row r="109" spans="1:21" x14ac:dyDescent="0.25">
      <c r="A109">
        <v>2087</v>
      </c>
      <c r="B109" s="4">
        <f t="shared" si="11"/>
        <v>1.2500000000000001E-2</v>
      </c>
      <c r="C109" s="3">
        <f>IF(A109=Inputs!$P$1,1,IF(A109&lt;Inputs!$P$1,C110/(1+B109),C108*(1+B109)))</f>
        <v>2.1871925043068576</v>
      </c>
      <c r="D109" s="163">
        <f>Inputs!$C$32*UF*C109</f>
        <v>1006108.5519811545</v>
      </c>
      <c r="E109" s="148">
        <f t="shared" si="8"/>
        <v>2504842.1079148808</v>
      </c>
      <c r="F109" s="148">
        <f t="shared" si="8"/>
        <v>1880308.5356040956</v>
      </c>
      <c r="G109" s="148">
        <f t="shared" si="8"/>
        <v>1880308.5356040956</v>
      </c>
      <c r="H109" s="6">
        <f t="shared" si="9"/>
        <v>180.70584470583262</v>
      </c>
      <c r="I109" s="122">
        <f t="shared" si="13"/>
        <v>271.50167354087114</v>
      </c>
      <c r="J109" s="122">
        <f t="shared" si="15"/>
        <v>271.50167354087114</v>
      </c>
      <c r="K109" s="6"/>
      <c r="L109" s="7">
        <v>8.8200000000000188E-3</v>
      </c>
      <c r="M109" s="145">
        <f t="shared" si="10"/>
        <v>271.50167354087114</v>
      </c>
      <c r="O109" s="219">
        <f t="shared" si="12"/>
        <v>0.1</v>
      </c>
      <c r="P109" s="146"/>
      <c r="U109" s="4" t="e">
        <f>#REF!</f>
        <v>#REF!</v>
      </c>
    </row>
    <row r="110" spans="1:21" x14ac:dyDescent="0.25">
      <c r="A110">
        <v>2088</v>
      </c>
      <c r="B110" s="4">
        <f t="shared" si="11"/>
        <v>1.2500000000000001E-2</v>
      </c>
      <c r="C110" s="3">
        <f>IF(A110=Inputs!$P$1,1,IF(A110&lt;Inputs!$P$1,C111/(1+B110),C109*(1+B110)))</f>
        <v>2.2145324106106932</v>
      </c>
      <c r="D110" s="163">
        <f>Inputs!$C$32*UF*C110</f>
        <v>1018684.9088809189</v>
      </c>
      <c r="E110" s="148">
        <f t="shared" ref="E110:G122" si="16">E109*(1+$B110)</f>
        <v>2536152.6342638168</v>
      </c>
      <c r="F110" s="148">
        <f t="shared" si="16"/>
        <v>1903812.3922991466</v>
      </c>
      <c r="G110" s="148">
        <f t="shared" si="16"/>
        <v>1903812.3922991466</v>
      </c>
      <c r="H110" s="6">
        <f t="shared" ref="H110:H122" si="17">H109*(1+IF(B110&lt;0,0,B110))</f>
        <v>182.96466776465553</v>
      </c>
      <c r="I110" s="122">
        <f t="shared" si="13"/>
        <v>274.89544446013201</v>
      </c>
      <c r="J110" s="122">
        <f t="shared" si="15"/>
        <v>274.89544446013201</v>
      </c>
      <c r="K110" s="6"/>
      <c r="L110" s="7">
        <v>8.6800000000000193E-3</v>
      </c>
      <c r="M110" s="145">
        <f t="shared" ref="M110:M122" si="18">M109*(1+IF(B110&lt;0,0,B110))</f>
        <v>274.89544446013201</v>
      </c>
      <c r="O110" s="219">
        <f t="shared" si="12"/>
        <v>0.1</v>
      </c>
      <c r="P110" s="146"/>
      <c r="U110" s="4" t="e">
        <f>#REF!</f>
        <v>#REF!</v>
      </c>
    </row>
    <row r="111" spans="1:21" x14ac:dyDescent="0.25">
      <c r="A111">
        <v>2089</v>
      </c>
      <c r="B111" s="4">
        <f t="shared" ref="B111:B122" si="19">B110</f>
        <v>1.2500000000000001E-2</v>
      </c>
      <c r="C111" s="3">
        <f>IF(A111=Inputs!$P$1,1,IF(A111&lt;Inputs!$P$1,C112/(1+B111),C110*(1+B111)))</f>
        <v>2.2422140657433269</v>
      </c>
      <c r="D111" s="163">
        <f>Inputs!$C$32*UF*C111</f>
        <v>1031418.4702419303</v>
      </c>
      <c r="E111" s="148">
        <f t="shared" si="16"/>
        <v>2567854.5421921145</v>
      </c>
      <c r="F111" s="148">
        <f t="shared" si="16"/>
        <v>1927610.0472028858</v>
      </c>
      <c r="G111" s="148">
        <f t="shared" si="16"/>
        <v>1927610.0472028858</v>
      </c>
      <c r="H111" s="6">
        <f t="shared" si="17"/>
        <v>185.25172611171371</v>
      </c>
      <c r="I111" s="122">
        <f t="shared" si="13"/>
        <v>278.33163751588364</v>
      </c>
      <c r="J111" s="122">
        <f t="shared" si="15"/>
        <v>278.33163751588364</v>
      </c>
      <c r="K111" s="6"/>
      <c r="L111" s="7">
        <v>8.5400000000000198E-3</v>
      </c>
      <c r="M111" s="145">
        <f t="shared" si="18"/>
        <v>278.33163751588364</v>
      </c>
      <c r="O111" s="219">
        <f t="shared" ref="O111:O122" si="20">O$46</f>
        <v>0.1</v>
      </c>
      <c r="P111" s="146"/>
      <c r="U111" s="4" t="e">
        <f>#REF!</f>
        <v>#REF!</v>
      </c>
    </row>
    <row r="112" spans="1:21" x14ac:dyDescent="0.25">
      <c r="A112">
        <v>2090</v>
      </c>
      <c r="B112" s="4">
        <f t="shared" si="19"/>
        <v>1.2500000000000001E-2</v>
      </c>
      <c r="C112" s="3">
        <f>IF(A112=Inputs!$P$1,1,IF(A112&lt;Inputs!$P$1,C113/(1+B112),C111*(1+B112)))</f>
        <v>2.2702417415651186</v>
      </c>
      <c r="D112" s="163">
        <f>Inputs!$C$32*UF*C112</f>
        <v>1044311.2011199546</v>
      </c>
      <c r="E112" s="148">
        <f t="shared" si="16"/>
        <v>2599952.7239695159</v>
      </c>
      <c r="F112" s="148">
        <f t="shared" si="16"/>
        <v>1951705.1727929218</v>
      </c>
      <c r="G112" s="148">
        <f t="shared" si="16"/>
        <v>1951705.1727929218</v>
      </c>
      <c r="H112" s="6">
        <f t="shared" si="17"/>
        <v>187.56737268811011</v>
      </c>
      <c r="I112" s="122">
        <f t="shared" ref="I112:I122" si="21">I111*(1+IF(B112&lt;0,0,B112))</f>
        <v>281.8107829848322</v>
      </c>
      <c r="J112" s="122">
        <f t="shared" si="15"/>
        <v>281.8107829848322</v>
      </c>
      <c r="K112" s="6"/>
      <c r="L112" s="7">
        <v>8.4000000000000203E-3</v>
      </c>
      <c r="M112" s="145">
        <f t="shared" si="18"/>
        <v>281.8107829848322</v>
      </c>
      <c r="O112" s="219">
        <f t="shared" si="20"/>
        <v>0.1</v>
      </c>
      <c r="P112" s="146"/>
      <c r="U112" s="4" t="e">
        <f>#REF!</f>
        <v>#REF!</v>
      </c>
    </row>
    <row r="113" spans="1:21" x14ac:dyDescent="0.25">
      <c r="A113">
        <v>2091</v>
      </c>
      <c r="B113" s="4">
        <f t="shared" si="19"/>
        <v>1.2500000000000001E-2</v>
      </c>
      <c r="C113" s="3">
        <f>IF(A113=Inputs!$P$1,1,IF(A113&lt;Inputs!$P$1,C114/(1+B113),C112*(1+B113)))</f>
        <v>2.2986197633346825</v>
      </c>
      <c r="D113" s="163">
        <f>Inputs!$C$32*UF*C113</f>
        <v>1057365.091133954</v>
      </c>
      <c r="E113" s="148">
        <f t="shared" si="16"/>
        <v>2632452.1330191349</v>
      </c>
      <c r="F113" s="148">
        <f t="shared" si="16"/>
        <v>1976101.4874528332</v>
      </c>
      <c r="G113" s="148">
        <f t="shared" si="16"/>
        <v>1976101.4874528332</v>
      </c>
      <c r="H113" s="6">
        <f t="shared" si="17"/>
        <v>189.91196484671147</v>
      </c>
      <c r="I113" s="122">
        <f t="shared" si="21"/>
        <v>285.33341777214258</v>
      </c>
      <c r="J113" s="122">
        <f t="shared" si="15"/>
        <v>285.33341777214258</v>
      </c>
      <c r="K113" s="6"/>
      <c r="L113" s="7">
        <v>8.2600000000000208E-3</v>
      </c>
      <c r="M113" s="145">
        <f t="shared" si="18"/>
        <v>285.33341777214258</v>
      </c>
      <c r="O113" s="219">
        <f t="shared" si="20"/>
        <v>0.1</v>
      </c>
      <c r="P113" s="146"/>
      <c r="U113" s="4" t="e">
        <f>#REF!</f>
        <v>#REF!</v>
      </c>
    </row>
    <row r="114" spans="1:21" x14ac:dyDescent="0.25">
      <c r="A114">
        <v>2092</v>
      </c>
      <c r="B114" s="4">
        <f t="shared" si="19"/>
        <v>1.2500000000000001E-2</v>
      </c>
      <c r="C114" s="3">
        <f>IF(A114=Inputs!$P$1,1,IF(A114&lt;Inputs!$P$1,C115/(1+B114),C113*(1+B114)))</f>
        <v>2.3273525103763659</v>
      </c>
      <c r="D114" s="163">
        <f>Inputs!$C$32*UF*C114</f>
        <v>1070582.1547731282</v>
      </c>
      <c r="E114" s="148">
        <f t="shared" si="16"/>
        <v>2665357.7846818739</v>
      </c>
      <c r="F114" s="148">
        <f t="shared" si="16"/>
        <v>2000802.7560459937</v>
      </c>
      <c r="G114" s="148">
        <f t="shared" si="16"/>
        <v>2000802.7560459937</v>
      </c>
      <c r="H114" s="6">
        <f t="shared" si="17"/>
        <v>192.28586440729535</v>
      </c>
      <c r="I114" s="122">
        <f t="shared" si="21"/>
        <v>288.90008549429433</v>
      </c>
      <c r="J114" s="122">
        <f t="shared" si="15"/>
        <v>288.90008549429433</v>
      </c>
      <c r="K114" s="6"/>
      <c r="L114" s="7">
        <v>8.1200000000000213E-3</v>
      </c>
      <c r="M114" s="145">
        <f t="shared" si="18"/>
        <v>288.90008549429433</v>
      </c>
      <c r="O114" s="219">
        <f t="shared" si="20"/>
        <v>0.1</v>
      </c>
      <c r="P114" s="146"/>
      <c r="U114" s="4" t="e">
        <f>#REF!</f>
        <v>#REF!</v>
      </c>
    </row>
    <row r="115" spans="1:21" x14ac:dyDescent="0.25">
      <c r="A115">
        <v>2093</v>
      </c>
      <c r="B115" s="4">
        <f t="shared" si="19"/>
        <v>1.2500000000000001E-2</v>
      </c>
      <c r="C115" s="3">
        <f>IF(A115=Inputs!$P$1,1,IF(A115&lt;Inputs!$P$1,C116/(1+B115),C114*(1+B115)))</f>
        <v>2.3564444167560703</v>
      </c>
      <c r="D115" s="163">
        <f>Inputs!$C$32*UF*C115</f>
        <v>1083964.4317077924</v>
      </c>
      <c r="E115" s="148">
        <f t="shared" si="16"/>
        <v>2698674.7569903973</v>
      </c>
      <c r="F115" s="148">
        <f t="shared" si="16"/>
        <v>2025812.7904965684</v>
      </c>
      <c r="G115" s="148">
        <f t="shared" si="16"/>
        <v>2025812.7904965684</v>
      </c>
      <c r="H115" s="6">
        <f t="shared" si="17"/>
        <v>194.68943771238654</v>
      </c>
      <c r="I115" s="122">
        <f t="shared" si="21"/>
        <v>292.51133656297299</v>
      </c>
      <c r="J115" s="122">
        <f t="shared" si="15"/>
        <v>292.51133656297299</v>
      </c>
      <c r="K115" s="6"/>
      <c r="L115" s="7">
        <v>7.9800000000000218E-3</v>
      </c>
      <c r="M115" s="145">
        <f t="shared" si="18"/>
        <v>292.51133656297299</v>
      </c>
      <c r="O115" s="219">
        <f t="shared" si="20"/>
        <v>0.1</v>
      </c>
      <c r="P115" s="146"/>
      <c r="U115" s="4" t="e">
        <f>#REF!</f>
        <v>#REF!</v>
      </c>
    </row>
    <row r="116" spans="1:21" x14ac:dyDescent="0.25">
      <c r="A116">
        <v>2094</v>
      </c>
      <c r="B116" s="4">
        <f t="shared" si="19"/>
        <v>1.2500000000000001E-2</v>
      </c>
      <c r="C116" s="3">
        <f>IF(A116=Inputs!$P$1,1,IF(A116&lt;Inputs!$P$1,C117/(1+B116),C115*(1+B116)))</f>
        <v>2.3858999719655212</v>
      </c>
      <c r="D116" s="163">
        <f>Inputs!$C$32*UF*C116</f>
        <v>1097513.9871041398</v>
      </c>
      <c r="E116" s="148">
        <f t="shared" si="16"/>
        <v>2732408.191452777</v>
      </c>
      <c r="F116" s="148">
        <f t="shared" si="16"/>
        <v>2051135.4503777754</v>
      </c>
      <c r="G116" s="148">
        <f t="shared" si="16"/>
        <v>2051135.4503777754</v>
      </c>
      <c r="H116" s="6">
        <f t="shared" si="17"/>
        <v>197.12305568379136</v>
      </c>
      <c r="I116" s="122">
        <f t="shared" si="21"/>
        <v>296.16772827001012</v>
      </c>
      <c r="J116" s="122">
        <f t="shared" ref="J116:J122" si="22">J115*(1+B115)</f>
        <v>296.16772827001012</v>
      </c>
      <c r="K116" s="6"/>
      <c r="L116" s="7">
        <v>7.8400000000000223E-3</v>
      </c>
      <c r="M116" s="145">
        <f t="shared" si="18"/>
        <v>296.16772827001012</v>
      </c>
      <c r="O116" s="219">
        <f t="shared" si="20"/>
        <v>0.1</v>
      </c>
      <c r="P116" s="146"/>
      <c r="U116" s="4" t="e">
        <f>#REF!</f>
        <v>#REF!</v>
      </c>
    </row>
    <row r="117" spans="1:21" x14ac:dyDescent="0.25">
      <c r="A117">
        <v>2095</v>
      </c>
      <c r="B117" s="4">
        <f t="shared" si="19"/>
        <v>1.2500000000000001E-2</v>
      </c>
      <c r="C117" s="3">
        <f>IF(A117=Inputs!$P$1,1,IF(A117&lt;Inputs!$P$1,C118/(1+B117),C116*(1+B117)))</f>
        <v>2.4157237216150902</v>
      </c>
      <c r="D117" s="163">
        <f>Inputs!$C$32*UF*C117</f>
        <v>1111232.9119429416</v>
      </c>
      <c r="E117" s="148">
        <f t="shared" si="16"/>
        <v>2766563.2938459367</v>
      </c>
      <c r="F117" s="148">
        <f t="shared" si="16"/>
        <v>2076774.6435074974</v>
      </c>
      <c r="G117" s="148">
        <f t="shared" si="16"/>
        <v>2076774.6435074974</v>
      </c>
      <c r="H117" s="6">
        <f t="shared" si="17"/>
        <v>199.58709387983876</v>
      </c>
      <c r="I117" s="122">
        <f t="shared" si="21"/>
        <v>299.86982487338526</v>
      </c>
      <c r="J117" s="122">
        <f t="shared" si="22"/>
        <v>299.86982487338526</v>
      </c>
      <c r="K117" s="6"/>
      <c r="L117" s="7">
        <v>7.7000000000000219E-3</v>
      </c>
      <c r="M117" s="145">
        <f t="shared" si="18"/>
        <v>299.86982487338526</v>
      </c>
      <c r="O117" s="219">
        <f t="shared" si="20"/>
        <v>0.1</v>
      </c>
      <c r="P117" s="146"/>
      <c r="U117" s="4" t="e">
        <f>#REF!</f>
        <v>#REF!</v>
      </c>
    </row>
    <row r="118" spans="1:21" x14ac:dyDescent="0.25">
      <c r="A118">
        <v>2096</v>
      </c>
      <c r="B118" s="4">
        <f t="shared" si="19"/>
        <v>1.2500000000000001E-2</v>
      </c>
      <c r="C118" s="3">
        <f>IF(A118=Inputs!$P$1,1,IF(A118&lt;Inputs!$P$1,C119/(1+B118),C117*(1+B118)))</f>
        <v>2.4459202681352785</v>
      </c>
      <c r="D118" s="163">
        <f>Inputs!$C$32*UF*C118</f>
        <v>1125123.3233422281</v>
      </c>
      <c r="E118" s="148">
        <f t="shared" si="16"/>
        <v>2801145.3350190106</v>
      </c>
      <c r="F118" s="148">
        <f t="shared" si="16"/>
        <v>2102734.326551341</v>
      </c>
      <c r="G118" s="148">
        <f t="shared" si="16"/>
        <v>2102734.326551341</v>
      </c>
      <c r="H118" s="6">
        <f t="shared" si="17"/>
        <v>202.08193255333674</v>
      </c>
      <c r="I118" s="122">
        <f t="shared" si="21"/>
        <v>303.61819768430257</v>
      </c>
      <c r="J118" s="122">
        <f t="shared" si="22"/>
        <v>303.61819768430257</v>
      </c>
      <c r="K118" s="6"/>
      <c r="L118" s="7">
        <v>7.5600000000000216E-3</v>
      </c>
      <c r="M118" s="145">
        <f t="shared" si="18"/>
        <v>303.61819768430257</v>
      </c>
      <c r="O118" s="219">
        <f t="shared" si="20"/>
        <v>0.1</v>
      </c>
      <c r="P118" s="146"/>
      <c r="U118" s="4" t="e">
        <f>#REF!</f>
        <v>#REF!</v>
      </c>
    </row>
    <row r="119" spans="1:21" x14ac:dyDescent="0.25">
      <c r="A119">
        <v>2097</v>
      </c>
      <c r="B119" s="4">
        <f t="shared" si="19"/>
        <v>1.2500000000000001E-2</v>
      </c>
      <c r="C119" s="3">
        <f>IF(A119=Inputs!$P$1,1,IF(A119&lt;Inputs!$P$1,C120/(1+B119),C118*(1+B119)))</f>
        <v>2.4764942714869695</v>
      </c>
      <c r="D119" s="163">
        <f>Inputs!$C$32*UF*C119</f>
        <v>1139187.3648840061</v>
      </c>
      <c r="E119" s="148">
        <f t="shared" si="16"/>
        <v>2836159.6517067482</v>
      </c>
      <c r="F119" s="148">
        <f t="shared" si="16"/>
        <v>2129018.5056332326</v>
      </c>
      <c r="G119" s="148">
        <f t="shared" si="16"/>
        <v>2129018.5056332326</v>
      </c>
      <c r="H119" s="6">
        <f t="shared" si="17"/>
        <v>204.60795671025343</v>
      </c>
      <c r="I119" s="122">
        <f t="shared" si="21"/>
        <v>307.41342515535632</v>
      </c>
      <c r="J119" s="122">
        <f t="shared" si="22"/>
        <v>307.41342515535632</v>
      </c>
      <c r="K119" s="6"/>
      <c r="L119" s="7">
        <v>7.4200000000000212E-3</v>
      </c>
      <c r="M119" s="145">
        <f t="shared" si="18"/>
        <v>307.41342515535632</v>
      </c>
      <c r="O119" s="219">
        <f t="shared" si="20"/>
        <v>0.1</v>
      </c>
      <c r="P119" s="146"/>
      <c r="U119" s="4" t="e">
        <f>#REF!</f>
        <v>#REF!</v>
      </c>
    </row>
    <row r="120" spans="1:21" x14ac:dyDescent="0.25">
      <c r="A120">
        <v>2098</v>
      </c>
      <c r="B120" s="4">
        <f t="shared" si="19"/>
        <v>1.2500000000000001E-2</v>
      </c>
      <c r="C120" s="3">
        <f>IF(A120=Inputs!$P$1,1,IF(A120&lt;Inputs!$P$1,C121/(1+B120),C119*(1+B120)))</f>
        <v>2.5074504498805568</v>
      </c>
      <c r="D120" s="163">
        <f>Inputs!$C$32*UF*C120</f>
        <v>1153427.2069450561</v>
      </c>
      <c r="E120" s="148">
        <f t="shared" si="16"/>
        <v>2871611.6473530824</v>
      </c>
      <c r="F120" s="148">
        <f t="shared" si="16"/>
        <v>2155631.2369536478</v>
      </c>
      <c r="G120" s="148">
        <f t="shared" si="16"/>
        <v>2155631.2369536478</v>
      </c>
      <c r="H120" s="6">
        <f t="shared" si="17"/>
        <v>207.16555616913161</v>
      </c>
      <c r="I120" s="122">
        <f t="shared" si="21"/>
        <v>311.25609296979826</v>
      </c>
      <c r="J120" s="122">
        <f t="shared" si="22"/>
        <v>311.25609296979826</v>
      </c>
      <c r="K120" s="6"/>
      <c r="L120" s="7">
        <v>7.2800000000000208E-3</v>
      </c>
      <c r="M120" s="145">
        <f t="shared" si="18"/>
        <v>311.25609296979826</v>
      </c>
      <c r="O120" s="219">
        <f t="shared" si="20"/>
        <v>0.1</v>
      </c>
      <c r="P120" s="146"/>
      <c r="U120" s="4" t="e">
        <f>#REF!</f>
        <v>#REF!</v>
      </c>
    </row>
    <row r="121" spans="1:21" x14ac:dyDescent="0.25">
      <c r="A121">
        <v>2099</v>
      </c>
      <c r="B121" s="4">
        <f t="shared" si="19"/>
        <v>1.2500000000000001E-2</v>
      </c>
      <c r="C121" s="3">
        <f>IF(A121=Inputs!$P$1,1,IF(A121&lt;Inputs!$P$1,C122/(1+B121),C120*(1+B121)))</f>
        <v>2.5387935805040636</v>
      </c>
      <c r="D121" s="163">
        <f>Inputs!$C$32*UF*C121</f>
        <v>1167845.0470318692</v>
      </c>
      <c r="E121" s="148">
        <f t="shared" si="16"/>
        <v>2907506.7929449957</v>
      </c>
      <c r="F121" s="148">
        <f t="shared" si="16"/>
        <v>2182576.6274155681</v>
      </c>
      <c r="G121" s="148">
        <f t="shared" si="16"/>
        <v>2182576.6274155681</v>
      </c>
      <c r="H121" s="6">
        <f t="shared" si="17"/>
        <v>209.75512562124575</v>
      </c>
      <c r="I121" s="122">
        <f t="shared" si="21"/>
        <v>315.14679413192073</v>
      </c>
      <c r="J121" s="122">
        <f t="shared" si="22"/>
        <v>315.14679413192073</v>
      </c>
      <c r="K121" s="6"/>
      <c r="L121" s="7">
        <v>7.1400000000000205E-3</v>
      </c>
      <c r="M121" s="145">
        <f t="shared" si="18"/>
        <v>315.14679413192073</v>
      </c>
      <c r="O121" s="219">
        <f t="shared" si="20"/>
        <v>0.1</v>
      </c>
      <c r="P121" s="146"/>
      <c r="U121" s="4" t="e">
        <f>#REF!</f>
        <v>#REF!</v>
      </c>
    </row>
    <row r="122" spans="1:21" x14ac:dyDescent="0.25">
      <c r="A122">
        <v>2100</v>
      </c>
      <c r="B122" s="4">
        <f t="shared" si="19"/>
        <v>1.2500000000000001E-2</v>
      </c>
      <c r="C122" s="3">
        <f>IF(A122=Inputs!$P$1,1,IF(A122&lt;Inputs!$P$1,C123/(1+B122),C121*(1+B122)))</f>
        <v>2.5705285002603642</v>
      </c>
      <c r="D122" s="163">
        <f>Inputs!$C$32*UF*C122</f>
        <v>1182443.1101197675</v>
      </c>
      <c r="E122" s="148">
        <f t="shared" si="16"/>
        <v>2943850.6278568078</v>
      </c>
      <c r="F122" s="148">
        <f t="shared" si="16"/>
        <v>2209858.8352582627</v>
      </c>
      <c r="G122" s="148">
        <f t="shared" si="16"/>
        <v>2209858.8352582627</v>
      </c>
      <c r="H122" s="6">
        <f t="shared" si="17"/>
        <v>212.37706469151132</v>
      </c>
      <c r="I122" s="122">
        <f t="shared" si="21"/>
        <v>319.08612905856972</v>
      </c>
      <c r="J122" s="122">
        <f t="shared" si="22"/>
        <v>319.08612905856972</v>
      </c>
      <c r="K122" s="6"/>
      <c r="L122" s="7">
        <v>7.0000000000000001E-3</v>
      </c>
      <c r="M122" s="145">
        <f t="shared" si="18"/>
        <v>319.08612905856972</v>
      </c>
      <c r="O122" s="219">
        <f t="shared" si="20"/>
        <v>0.1</v>
      </c>
      <c r="P122" s="146"/>
      <c r="U122" s="4" t="e">
        <f>#REF!</f>
        <v>#REF!</v>
      </c>
    </row>
    <row r="123" spans="1:21" x14ac:dyDescent="0.25">
      <c r="U123" s="4" t="e">
        <f>#REF!</f>
        <v>#REF!</v>
      </c>
    </row>
  </sheetData>
  <protectedRanges>
    <protectedRange sqref="R15:R20" name="Rango1"/>
  </protectedRanges>
  <mergeCells count="5">
    <mergeCell ref="A1:M1"/>
    <mergeCell ref="Q12:R13"/>
    <mergeCell ref="AD1:AF1"/>
    <mergeCell ref="Q1:S1"/>
    <mergeCell ref="V1:W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76</vt:i4>
      </vt:variant>
    </vt:vector>
  </HeadingPairs>
  <TitlesOfParts>
    <vt:vector size="87" baseType="lpstr">
      <vt:lpstr>Inputs</vt:lpstr>
      <vt:lpstr>Resumen Resultados</vt:lpstr>
      <vt:lpstr>TR</vt:lpstr>
      <vt:lpstr>Esc_6c</vt:lpstr>
      <vt:lpstr>Esc_4c-2i</vt:lpstr>
      <vt:lpstr>Esc_3c-3i</vt:lpstr>
      <vt:lpstr>Esc_2c-4i</vt:lpstr>
      <vt:lpstr>Esc_6i</vt:lpstr>
      <vt:lpstr>Parámetros</vt:lpstr>
      <vt:lpstr>cnu</vt:lpstr>
      <vt:lpstr>cnu_noc</vt:lpstr>
      <vt:lpstr>a_afil</vt:lpstr>
      <vt:lpstr>a_nac</vt:lpstr>
      <vt:lpstr>agno_ret</vt:lpstr>
      <vt:lpstr>agnos</vt:lpstr>
      <vt:lpstr>agnos_rent</vt:lpstr>
      <vt:lpstr>'Esc_2c-4i'!alpha</vt:lpstr>
      <vt:lpstr>'Esc_3c-3i'!alpha</vt:lpstr>
      <vt:lpstr>'Esc_4c-2i'!alpha</vt:lpstr>
      <vt:lpstr>Esc_6c!alpha</vt:lpstr>
      <vt:lpstr>Esc_6i!alpha</vt:lpstr>
      <vt:lpstr>Parámetros!alpha</vt:lpstr>
      <vt:lpstr>alpha</vt:lpstr>
      <vt:lpstr>beneficios</vt:lpstr>
      <vt:lpstr>'Esc_2c-4i'!beneficios_hombre</vt:lpstr>
      <vt:lpstr>'Esc_3c-3i'!beneficios_hombre</vt:lpstr>
      <vt:lpstr>'Esc_4c-2i'!beneficios_hombre</vt:lpstr>
      <vt:lpstr>Esc_6c!beneficios_hombre</vt:lpstr>
      <vt:lpstr>Esc_6i!beneficios_hombre</vt:lpstr>
      <vt:lpstr>'Esc_2c-4i'!beneficios_mujer</vt:lpstr>
      <vt:lpstr>'Esc_3c-3i'!beneficios_mujer</vt:lpstr>
      <vt:lpstr>'Esc_4c-2i'!beneficios_mujer</vt:lpstr>
      <vt:lpstr>Esc_6c!beneficios_mujer</vt:lpstr>
      <vt:lpstr>Esc_6i!beneficios_mujer</vt:lpstr>
      <vt:lpstr>'Esc_2c-4i'!beta</vt:lpstr>
      <vt:lpstr>'Esc_3c-3i'!beta</vt:lpstr>
      <vt:lpstr>Esc_6c!beta</vt:lpstr>
      <vt:lpstr>Esc_6i!beta</vt:lpstr>
      <vt:lpstr>Parámetros!beta</vt:lpstr>
      <vt:lpstr>beta</vt:lpstr>
      <vt:lpstr>cnu</vt:lpstr>
      <vt:lpstr>cnu_elp</vt:lpstr>
      <vt:lpstr>cnu_noc</vt:lpstr>
      <vt:lpstr>con_PGU</vt:lpstr>
      <vt:lpstr>cuidado3</vt:lpstr>
      <vt:lpstr>delta</vt:lpstr>
      <vt:lpstr>dens_cot</vt:lpstr>
      <vt:lpstr>dens_mujer</vt:lpstr>
      <vt:lpstr>edad_pafe</vt:lpstr>
      <vt:lpstr>edad_ret_h</vt:lpstr>
      <vt:lpstr>edad_ret_m</vt:lpstr>
      <vt:lpstr>'Esc_2c-4i'!edades_ref</vt:lpstr>
      <vt:lpstr>'Esc_3c-3i'!edades_ref</vt:lpstr>
      <vt:lpstr>'Esc_4c-2i'!edades_ref</vt:lpstr>
      <vt:lpstr>'Esc_2c-4i'!gamma</vt:lpstr>
      <vt:lpstr>'Esc_3c-3i'!gamma</vt:lpstr>
      <vt:lpstr>Esc_6c!gamma</vt:lpstr>
      <vt:lpstr>Esc_6i!gamma</vt:lpstr>
      <vt:lpstr>Parámetros!gamma</vt:lpstr>
      <vt:lpstr>gamma</vt:lpstr>
      <vt:lpstr>gar_agno</vt:lpstr>
      <vt:lpstr>giros_sc</vt:lpstr>
      <vt:lpstr>i_fondo</vt:lpstr>
      <vt:lpstr>i_noc</vt:lpstr>
      <vt:lpstr>mmater</vt:lpstr>
      <vt:lpstr>n_mes_laguna</vt:lpstr>
      <vt:lpstr>n_per_cub</vt:lpstr>
      <vt:lpstr>P_inf</vt:lpstr>
      <vt:lpstr>P_sup</vt:lpstr>
      <vt:lpstr>PGU_actual</vt:lpstr>
      <vt:lpstr>PGU_ref</vt:lpstr>
      <vt:lpstr>rent_base</vt:lpstr>
      <vt:lpstr>saldo_inic</vt:lpstr>
      <vt:lpstr>sexo_cnu</vt:lpstr>
      <vt:lpstr>tope_base</vt:lpstr>
      <vt:lpstr>'Esc_2c-4i'!tope_bm</vt:lpstr>
      <vt:lpstr>'Esc_3c-3i'!tope_bm</vt:lpstr>
      <vt:lpstr>'Esc_4c-2i'!tope_bm</vt:lpstr>
      <vt:lpstr>tope_bm</vt:lpstr>
      <vt:lpstr>'Esc_2c-4i'!tope_garantia</vt:lpstr>
      <vt:lpstr>'Esc_3c-3i'!tope_garantia</vt:lpstr>
      <vt:lpstr>'Esc_4c-2i'!tope_garantia</vt:lpstr>
      <vt:lpstr>tope_ref_col</vt:lpstr>
      <vt:lpstr>tope_ref_ind</vt:lpstr>
      <vt:lpstr>tr_sc_acum</vt:lpstr>
      <vt:lpstr>UF</vt:lpstr>
      <vt:lpstr>w_uf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Alonso Valdés G</dc:creator>
  <cp:lastModifiedBy>Patricia Rabanales González</cp:lastModifiedBy>
  <cp:lastPrinted>2023-01-16T17:17:06Z</cp:lastPrinted>
  <dcterms:created xsi:type="dcterms:W3CDTF">2015-06-05T18:19:34Z</dcterms:created>
  <dcterms:modified xsi:type="dcterms:W3CDTF">2024-01-15T16:16:27Z</dcterms:modified>
</cp:coreProperties>
</file>